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670" tabRatio="807" activeTab="0"/>
  </bookViews>
  <sheets>
    <sheet name="Üretici Beyanı" sheetId="1" r:id="rId1"/>
    <sheet name="Uzun Ely.ham" sheetId="2" r:id="rId2"/>
    <sheet name="Uzun Ely.Mamul" sheetId="3" r:id="rId3"/>
    <sheet name="Kısa Ely.ham" sheetId="4" r:id="rId4"/>
    <sheet name="Kısa Ely.Mamul" sheetId="5" r:id="rId5"/>
    <sheet name="Poly_Fil.Ham " sheetId="6" r:id="rId6"/>
    <sheet name="Poly_Fil.Mamul " sheetId="7" r:id="rId7"/>
  </sheets>
  <definedNames>
    <definedName name="_xlnm.Print_Area" localSheetId="3">'Kısa Ely.ham'!$B$4:$H$66</definedName>
    <definedName name="_xlnm.Print_Area" localSheetId="4">'Kısa Ely.Mamul'!$B$4:$H$89</definedName>
    <definedName name="_xlnm.Print_Area" localSheetId="5">'Poly_Fil.Ham '!$A$2:$G$54</definedName>
    <definedName name="_xlnm.Print_Area" localSheetId="6">'Poly_Fil.Mamul '!$A$2:$G$81</definedName>
    <definedName name="_xlnm.Print_Area" localSheetId="1">'Uzun Ely.ham'!$B$4:$H$64</definedName>
    <definedName name="_xlnm.Print_Area" localSheetId="2">'Uzun Ely.Mamul'!$B$4:$H$77</definedName>
    <definedName name="_xlnm.Print_Area" localSheetId="0">'Üretici Beyanı'!$A$1:$S$64</definedName>
  </definedNames>
  <calcPr fullCalcOnLoad="1"/>
</workbook>
</file>

<file path=xl/sharedStrings.xml><?xml version="1.0" encoding="utf-8"?>
<sst xmlns="http://schemas.openxmlformats.org/spreadsheetml/2006/main" count="795" uniqueCount="297">
  <si>
    <t>ELYAF CİNSİ</t>
  </si>
  <si>
    <t>Polyester Renkli</t>
  </si>
  <si>
    <t>Polyamid</t>
  </si>
  <si>
    <t>Viskon</t>
  </si>
  <si>
    <t>Viskon Renkli</t>
  </si>
  <si>
    <t>Polyester Tops</t>
  </si>
  <si>
    <t>Polyester Tops Renkli</t>
  </si>
  <si>
    <t>Yün Tops</t>
  </si>
  <si>
    <t>Yün Tops Renkli</t>
  </si>
  <si>
    <t>Tiftik</t>
  </si>
  <si>
    <t>Akrilik</t>
  </si>
  <si>
    <t>KUMAŞ ÖZELLİĞİ</t>
  </si>
  <si>
    <t>X</t>
  </si>
  <si>
    <t>KISA ELYAF İPLİK TOPLAM MALİYETİ</t>
  </si>
  <si>
    <t>$/Kg</t>
  </si>
  <si>
    <t>$/Mt</t>
  </si>
  <si>
    <t>1 ) İPLİK HAMMADDE MALİYETİ    $/KG</t>
  </si>
  <si>
    <t>2 ) İPLİK ÜRETİM MALİYETİ    $/KG</t>
  </si>
  <si>
    <t xml:space="preserve"> ELYAF TOPLAM MALİYETİ</t>
  </si>
  <si>
    <t xml:space="preserve"> TOPLAM HAMMADDE MALİYETİ</t>
  </si>
  <si>
    <t>X:OK</t>
  </si>
  <si>
    <t>Iplik Ne (Tek Kat ) :</t>
  </si>
  <si>
    <t>İŞLEMLER</t>
  </si>
  <si>
    <t xml:space="preserve"> TOPLAM İPLİK MALİYETİ</t>
  </si>
  <si>
    <t xml:space="preserve"> DOKUMA MALİYETİ</t>
  </si>
  <si>
    <t>ÜRETİM MALİYETİ $/KG</t>
  </si>
  <si>
    <t>ÇÖZGÜ</t>
  </si>
  <si>
    <t>ATKI</t>
  </si>
  <si>
    <t>ONAY</t>
  </si>
  <si>
    <t xml:space="preserve"> DOKUMA</t>
  </si>
  <si>
    <t>HAM KUMAS</t>
  </si>
  <si>
    <t>MALİYET</t>
  </si>
  <si>
    <t>İŞLEM</t>
  </si>
  <si>
    <t xml:space="preserve"> TERBİYE MALİYETİ</t>
  </si>
  <si>
    <t>Polyester/Viskon Kumaşlar</t>
  </si>
  <si>
    <t>Viskon Kumaşlar</t>
  </si>
  <si>
    <t>Ketenli Kumaşlar</t>
  </si>
  <si>
    <t>Çekme Oranı%</t>
  </si>
  <si>
    <t>Yünlü Kumaşlar</t>
  </si>
  <si>
    <t>Kamgarn Kumaşlar</t>
  </si>
  <si>
    <t>Iplik Nm (Tek kat  ) :</t>
  </si>
  <si>
    <t>Kumaş Grupları</t>
  </si>
  <si>
    <t>Polyester ITY İplik</t>
  </si>
  <si>
    <t>Polyester Renkli İplik</t>
  </si>
  <si>
    <t>Polyamid (Naylon) İplik</t>
  </si>
  <si>
    <t>ÇÖZGÜ DEN</t>
  </si>
  <si>
    <t>ATKI DEN</t>
  </si>
  <si>
    <t>Iplik Den (Tek Kat ) :</t>
  </si>
  <si>
    <t xml:space="preserve"> İPLİK TOPLAM MALİYETİ</t>
  </si>
  <si>
    <t>Polyester Kumaşlar</t>
  </si>
  <si>
    <t>Polyamid (Naylon) Kumaşlar</t>
  </si>
  <si>
    <t>Çözgü</t>
  </si>
  <si>
    <t>3 ) HAMBEZ MALİYETİ    $/Mt - $/KG</t>
  </si>
  <si>
    <t>4 ) MAMUL KUMAŞ MALİYETİ    $/Mt - $/KG</t>
  </si>
  <si>
    <t>UZUN ELYAF HAM KUMAŞ MALİYET HESAPLAMA METODU</t>
  </si>
  <si>
    <t>KISA ELYAF HAM KUMAŞ MALİYET HESAPLAMA METODU</t>
  </si>
  <si>
    <t xml:space="preserve"> UZUN ELYAF CİNSİ</t>
  </si>
  <si>
    <t xml:space="preserve"> ELASTOMER İPLİKLER</t>
  </si>
  <si>
    <t xml:space="preserve"> ELASTOMER İPLİK TOPLAM MALİYETİ</t>
  </si>
  <si>
    <t>İPLİK ÜRETİM MALİYETİ</t>
  </si>
  <si>
    <t>UZUN ELYAF İPLİK TOPLAM MALİYETİ</t>
  </si>
  <si>
    <t>Ham Eni (Cm)</t>
  </si>
  <si>
    <t xml:space="preserve"> HAMBEZ İŞLEM  MALİYETİ</t>
  </si>
  <si>
    <t>Mensucatın Ham Ağırlığı (Gr/Mt )</t>
  </si>
  <si>
    <t>Çözgü Ağırlığı (Gr/Mt )</t>
  </si>
  <si>
    <t>Atkı Ağırlığı (Gr/Mt )</t>
  </si>
  <si>
    <t>Haşıl      : ( $/Kg )</t>
  </si>
  <si>
    <t>Atkı Sayısı : ( ¢/Atkı )</t>
  </si>
  <si>
    <t xml:space="preserve"> TOPLAM  HAMBEZ MALİYETİ</t>
  </si>
  <si>
    <t>FİRELİ HAMMADDE MİKTARI</t>
  </si>
  <si>
    <t>KG</t>
  </si>
  <si>
    <t>$/KG</t>
  </si>
  <si>
    <t xml:space="preserve">ELYAF FİYATI </t>
  </si>
  <si>
    <t xml:space="preserve">ÇÖZGÜ HAMMADDE GİDERİ             </t>
  </si>
  <si>
    <t xml:space="preserve">ATKI     HAMMADDE GİDERİ             </t>
  </si>
  <si>
    <t xml:space="preserve">İplik Eğirme (¢/Nm) : </t>
  </si>
  <si>
    <t xml:space="preserve">İplik Büküm (¢/Nm ) : </t>
  </si>
  <si>
    <t>%</t>
  </si>
  <si>
    <t xml:space="preserve">ÇÖZGÜ KULLANIM ORANI </t>
  </si>
  <si>
    <t xml:space="preserve">ATKI KULLANIM ORANI </t>
  </si>
  <si>
    <t>KISA ELYAF CİNSİ</t>
  </si>
  <si>
    <t xml:space="preserve">İplik Eğirme ( ¢/Ne ) : </t>
  </si>
  <si>
    <t xml:space="preserve">İplik Büküm ( ¢/Ne ): </t>
  </si>
  <si>
    <t>ÜRETİM MALİYETİ     $/KG</t>
  </si>
  <si>
    <t xml:space="preserve"> İPLİK ÜRETİM  MALİYETİ</t>
  </si>
  <si>
    <t xml:space="preserve"> KISA ELYAF İPLİK TOPLAM MALİYETİ</t>
  </si>
  <si>
    <t>HAM KUMAS      VERİLERİ</t>
  </si>
  <si>
    <t>HAM KUMAS     VERİLERİ</t>
  </si>
  <si>
    <t>İ.Bobin Boya  ( $/Kg ) :</t>
  </si>
  <si>
    <t>Çözgü Ağırlığı ( Gr/Mt )</t>
  </si>
  <si>
    <t>Atkı Ağırlığı ( Gr/Mt )</t>
  </si>
  <si>
    <t>Mamul Kumaş  Eni (Cm )</t>
  </si>
  <si>
    <t>Mensucatın Mamul Ağırlığı (Gr/Mt )</t>
  </si>
  <si>
    <t>İpliği Boyalı/Elyafı Boyalı  (Mt/$ )</t>
  </si>
  <si>
    <t xml:space="preserve"> TOPLAM MAMUL KUMAŞ MALİYETİ</t>
  </si>
  <si>
    <t xml:space="preserve"> TERBİYE</t>
  </si>
  <si>
    <t>FİLAMENT İPLİK</t>
  </si>
  <si>
    <t>İ.Bobin Boya : ($/Kg )</t>
  </si>
  <si>
    <t>Ham Eni (Cm )</t>
  </si>
  <si>
    <t>Haşıl      : ($/Kg )</t>
  </si>
  <si>
    <t>Atkı Sayısı : (¢/Atkı )</t>
  </si>
  <si>
    <t xml:space="preserve">İPLİK FİYATI </t>
  </si>
  <si>
    <t>ÜRETİM MALİYETİ    $/KG</t>
  </si>
  <si>
    <t xml:space="preserve"> Nm</t>
  </si>
  <si>
    <t xml:space="preserve"> Ne</t>
  </si>
  <si>
    <t>Fiber</t>
  </si>
  <si>
    <t>ITY</t>
  </si>
  <si>
    <t>Polyester</t>
  </si>
  <si>
    <t xml:space="preserve">Polyester </t>
  </si>
  <si>
    <t>DTY</t>
  </si>
  <si>
    <t>Trilobal</t>
  </si>
  <si>
    <t>SDY</t>
  </si>
  <si>
    <t xml:space="preserve">Cationic </t>
  </si>
  <si>
    <t>NEP</t>
  </si>
  <si>
    <t>Dope Dyed</t>
  </si>
  <si>
    <t>Full Dull</t>
  </si>
  <si>
    <t>Bright</t>
  </si>
  <si>
    <t>Covered Yarn</t>
  </si>
  <si>
    <t>EA</t>
  </si>
  <si>
    <t>Dtex No.</t>
  </si>
  <si>
    <t xml:space="preserve">Keten </t>
  </si>
  <si>
    <t xml:space="preserve">Akrilik </t>
  </si>
  <si>
    <t>EA 78 Dtex</t>
  </si>
  <si>
    <t>EA 44 Dtex</t>
  </si>
  <si>
    <t>EA 22 Dtex</t>
  </si>
  <si>
    <t>Denim</t>
  </si>
  <si>
    <t>.............................tarih, ....................sayılı fatura kapsamında Türkiye'ye ithal edilecek olan sentetik-suni-tabii elyaflardan dokunmuş kumaşlar  için beyanı gerekli bilgiler ve kumaş özellikleri:</t>
  </si>
  <si>
    <t>Kamgarn-Straygarn ve karışımlı UZUN ELYAF İplik Üretim Sistemi                          [III]</t>
  </si>
  <si>
    <t>Ring/Open-end  ve karışımlı KISA ELYAF iplik üretim sistemi                          [II]</t>
  </si>
  <si>
    <t>Kumaşı Oluşturan İpliğin Detayları</t>
  </si>
  <si>
    <t>İplik Cinsi</t>
  </si>
  <si>
    <t>İplik Kompozisyonu</t>
  </si>
  <si>
    <t>Çözgü %</t>
  </si>
  <si>
    <t>Atkı %</t>
  </si>
  <si>
    <t>Diğer (tanımla)</t>
  </si>
  <si>
    <t>Double compenent (Renkli)</t>
  </si>
  <si>
    <t>Diğer(tanımla)</t>
  </si>
  <si>
    <t>İpek</t>
  </si>
  <si>
    <t>Metalik</t>
  </si>
  <si>
    <t>Yarımat</t>
  </si>
  <si>
    <t>İpliğin Türü</t>
  </si>
  <si>
    <t>Karde-Openend pamuk</t>
  </si>
  <si>
    <t>Penye pamuk</t>
  </si>
  <si>
    <t>Keten</t>
  </si>
  <si>
    <t>Polyester (renkli)</t>
  </si>
  <si>
    <t>Viskon(renkli)</t>
  </si>
  <si>
    <t>Polyester tops</t>
  </si>
  <si>
    <t>Üretim $/Kg</t>
  </si>
  <si>
    <t>Polyester tops(renkli)</t>
  </si>
  <si>
    <t>Yün tops</t>
  </si>
  <si>
    <t>Yün tops(renkli)</t>
  </si>
  <si>
    <t>Tiftik(renkli)</t>
  </si>
  <si>
    <t>Keten tops</t>
  </si>
  <si>
    <t>SÜTUN IV</t>
  </si>
  <si>
    <t>SÜTUN V</t>
  </si>
  <si>
    <t>SÜTUN VI</t>
  </si>
  <si>
    <t>Dokuma Şekli</t>
  </si>
  <si>
    <t>Mamul Şekli</t>
  </si>
  <si>
    <t>Kumaş Detayları</t>
  </si>
  <si>
    <t>Bezayağı</t>
  </si>
  <si>
    <t>Dimi</t>
  </si>
  <si>
    <t>Armürlü</t>
  </si>
  <si>
    <t>Saten</t>
  </si>
  <si>
    <t>Çift bezayağı</t>
  </si>
  <si>
    <t>Kadife</t>
  </si>
  <si>
    <t>Fitilli kadife</t>
  </si>
  <si>
    <t>Boyalı</t>
  </si>
  <si>
    <t>Ön işlem</t>
  </si>
  <si>
    <t>Kasar</t>
  </si>
  <si>
    <t>Ham</t>
  </si>
  <si>
    <t>Baskılı</t>
  </si>
  <si>
    <t>İnceltme</t>
  </si>
  <si>
    <t>Dokunmuş Kumaş Detayı</t>
  </si>
  <si>
    <t>Özellikler</t>
  </si>
  <si>
    <t>Mamul</t>
  </si>
  <si>
    <t>En (cm)</t>
  </si>
  <si>
    <t>Ağırlık(gr/mt)</t>
  </si>
  <si>
    <t>Ağırlık(gr/m²)</t>
  </si>
  <si>
    <t>Çözgü sıklığı (Adet/cm)</t>
  </si>
  <si>
    <t>Atkı  sıklığı (Adet/cm)</t>
  </si>
  <si>
    <t>İplik No.</t>
  </si>
  <si>
    <t xml:space="preserve">Çözgü </t>
  </si>
  <si>
    <t xml:space="preserve">Atkı </t>
  </si>
  <si>
    <t>Denye</t>
  </si>
  <si>
    <t>Tur (TPM)</t>
  </si>
  <si>
    <t>Bobin boyama</t>
  </si>
  <si>
    <t>Şantuk</t>
  </si>
  <si>
    <t>Evet/Hayır</t>
  </si>
  <si>
    <t>Elastomer</t>
  </si>
  <si>
    <t>Desiteks</t>
  </si>
  <si>
    <t>Fatura Tarih, No.           :</t>
  </si>
  <si>
    <t>Sevk ülkesi                   :</t>
  </si>
  <si>
    <t>Menşe Ülkesi                :</t>
  </si>
  <si>
    <t>Fatura Miktarı(Metre)      :</t>
  </si>
  <si>
    <t>Fatura Miktarı (M² )        :</t>
  </si>
  <si>
    <t>Fatura Tutarı(Döviz Cinsi):</t>
  </si>
  <si>
    <t>Brüt Kg                         :</t>
  </si>
  <si>
    <t>Net Kg                           :</t>
  </si>
  <si>
    <t>Özel tanımlama notları:</t>
  </si>
  <si>
    <t xml:space="preserve"> Aşağıda imzası bulunan ben, yukarıda belirtilen eşyanın</t>
  </si>
  <si>
    <t xml:space="preserve"> bu belgenin düzenlenmesi için gerekli olan koşullara uygun</t>
  </si>
  <si>
    <t xml:space="preserve"> olduğunu beyan ederim.</t>
  </si>
  <si>
    <t>Yer ve Tarih, ...............................</t>
  </si>
  <si>
    <t xml:space="preserve">        İthalatçının  İmzası</t>
  </si>
  <si>
    <t>NOTLAR:</t>
  </si>
  <si>
    <t xml:space="preserve">     ithalatçı adına yetkili personelin imzası ile teyit edilecektir.</t>
  </si>
  <si>
    <t xml:space="preserve">1- Bu form belirtilen fatura muhteviyatı malların üreticisi tarafından doldurularak üreticinin yetkili imza sahibi personeli tarafından imzalanacak ve </t>
  </si>
  <si>
    <t>EK-1</t>
  </si>
  <si>
    <t>EK-2</t>
  </si>
  <si>
    <t>EK-3</t>
  </si>
  <si>
    <t>EK-4</t>
  </si>
  <si>
    <t>EK-5</t>
  </si>
  <si>
    <t>EK-6</t>
  </si>
  <si>
    <t>EK-7</t>
  </si>
  <si>
    <r>
      <t xml:space="preserve">2- Dokuma Kumaş Üretici Beyanı'nın doldurulmasına iplik üretiminde kullanılan elyafın </t>
    </r>
    <r>
      <rPr>
        <b/>
        <sz val="12"/>
        <rFont val="Arial"/>
        <family val="2"/>
      </rPr>
      <t>I. Devamlı Liflerden Elyaf/İplik,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II. Kısa Elyaf </t>
    </r>
    <r>
      <rPr>
        <sz val="12"/>
        <rFont val="Arial"/>
        <family val="2"/>
      </rPr>
      <t xml:space="preserve">veya </t>
    </r>
    <r>
      <rPr>
        <b/>
        <sz val="12"/>
        <rFont val="Arial"/>
        <family val="2"/>
      </rPr>
      <t>III. Uzun Elyaf</t>
    </r>
  </si>
  <si>
    <t xml:space="preserve">    elyafların dışında bir elyaf kullanılmış ise aynı ilgili kutuya veya özel notlar kutusuna tanımlama yapılmalıdır.</t>
  </si>
  <si>
    <t>3- İpliği oluşturan elyaf komposizyonu yüzdeleri çözgü ve atkı olarak hizalarındaki elyaf kutusuna yazılmalıdır.</t>
  </si>
  <si>
    <t>4- Sütun IV, dokuma türü, mamul kumaş tipi ve kumaşın ham ve mamul değerlerini içermekte olup, hizalarındaki ilgili kutuya (X) işareti konulmalıdır.</t>
  </si>
  <si>
    <t>5- Sütun V, iplik numarası, büküm turunu ve varsa elastomer elyaf detayını içermektedir. Eğer çözgüde ve atkıdaki iplik numarası birden fazla ise, kullanılan</t>
  </si>
  <si>
    <t xml:space="preserve">    ipliğin ortalama iplik numarası yazılır.</t>
  </si>
  <si>
    <t>6- Sütun VI, malın yükleme detaylarını içermektedir.</t>
  </si>
  <si>
    <t xml:space="preserve">    olup olmadığının tespiti ile başlanacaktır. İplik üretim sistemine göre elyaf ile ilgili kutuya (X) işareti konulacaktır. İplik üretim sisteminde belirtilen</t>
  </si>
  <si>
    <t>HATA</t>
  </si>
  <si>
    <t>Rami</t>
  </si>
  <si>
    <t>Diğerleri</t>
  </si>
  <si>
    <t>Viskose(Floş-Suni ipek)</t>
  </si>
  <si>
    <t>İPLİK CİNSİ</t>
  </si>
  <si>
    <t xml:space="preserve">ÇÖZGÜ         İPLİK          GİDERİ             </t>
  </si>
  <si>
    <t xml:space="preserve">ATKI               İPLİK             GİDERİ             </t>
  </si>
  <si>
    <t xml:space="preserve"> İPLİK  HAMMADDE  MALİYETİ</t>
  </si>
  <si>
    <t xml:space="preserve"> TOPLAM  İPLİK  HAMMADDE MALİYETİ</t>
  </si>
  <si>
    <t>Asetat iplik</t>
  </si>
  <si>
    <t>İplik Büküm (¢/Den) :  tpm</t>
  </si>
  <si>
    <t>Çözgüden Elastomerli Kumaşlar</t>
  </si>
  <si>
    <t>Atkıdan Elastomerli  Kumaşlar</t>
  </si>
  <si>
    <t>x</t>
  </si>
  <si>
    <t>Suni İpek</t>
  </si>
  <si>
    <t>Asetat</t>
  </si>
  <si>
    <t>Filament İplik Üretim Sistemi (Filament-Polyester-Naylon -Suni İpek ve karışımlı DEVAMLI LİFLERDEN  iplikler)            [I]</t>
  </si>
  <si>
    <t xml:space="preserve">İpliği Boyalı/Elyafı Boyalı </t>
  </si>
  <si>
    <t xml:space="preserve">ÜRETİM MALİYETİ </t>
  </si>
  <si>
    <t xml:space="preserve">ÜRETİM MALİYETİ     </t>
  </si>
  <si>
    <t xml:space="preserve">İpliği Boyalı/Elyafı Boyalı  </t>
  </si>
  <si>
    <t xml:space="preserve">DOKUMA KUMAŞ ÜRETİCİ BEYANI </t>
  </si>
  <si>
    <t xml:space="preserve"> TOPLAM HAM KUMAŞ MALİYETİ</t>
  </si>
  <si>
    <t>Ağartma ( PFD/PFP )</t>
  </si>
  <si>
    <t>Polyester düz iplik (SDY)</t>
  </si>
  <si>
    <t>Polyester teksture iplik (DTY)</t>
  </si>
  <si>
    <t>Polyester Özel İplik (NEP)</t>
  </si>
  <si>
    <t>Düz Boya yada Baskılı     (Mt/$ )</t>
  </si>
  <si>
    <t>Denim (Çözgü Boyama) ($/Mt)</t>
  </si>
  <si>
    <t>Boya ve Terbiye Prosesi</t>
  </si>
  <si>
    <t>Üretim  $/Mt</t>
  </si>
  <si>
    <t>Kadife (Kesim/Düz Boya veya Baskı)</t>
  </si>
  <si>
    <t>Boyaya Hazır Ağartılmış  Kadife</t>
  </si>
  <si>
    <t xml:space="preserve">Denim                         </t>
  </si>
  <si>
    <t>Polyester Inceltme (W/R)   ($/Mt)</t>
  </si>
  <si>
    <t xml:space="preserve">Pamuklu / Pamuk Karışımı </t>
  </si>
  <si>
    <t xml:space="preserve">Kadife </t>
  </si>
  <si>
    <t>Baskılı (Empirme)</t>
  </si>
  <si>
    <t>Modifiye viscose modal, lycell, tencel, polynosic iplik</t>
  </si>
  <si>
    <t>Cupro iplik</t>
  </si>
  <si>
    <t xml:space="preserve">İplik Şantuk ($/Kg ): </t>
  </si>
  <si>
    <t xml:space="preserve">Polyamid (Naylon) </t>
  </si>
  <si>
    <t xml:space="preserve">Modifiye viscose modal, lycell, tencel, polynosic </t>
  </si>
  <si>
    <t xml:space="preserve">Cupro </t>
  </si>
  <si>
    <t xml:space="preserve">Geri dönüşümlü yün elyafı </t>
  </si>
  <si>
    <t>Asetat kumaş</t>
  </si>
  <si>
    <t>Viskose(suni elyaf) Kumaşlar</t>
  </si>
  <si>
    <t>Yün elyafı (pamuk tipi)</t>
  </si>
  <si>
    <t>Yün elyafı -renkli- (pamuk tipi)</t>
  </si>
  <si>
    <t>Yün karışımlı kumaşlar</t>
  </si>
  <si>
    <t>Viskose(Floş-Suni ipek) [iplik]</t>
  </si>
  <si>
    <t>Yün elyafından iplik (pamuk tipi)</t>
  </si>
  <si>
    <t>Yün elyafından renkli iplik (pamuk tipi)</t>
  </si>
  <si>
    <t>Pamuk ipliği</t>
  </si>
  <si>
    <t>Viskon iplik</t>
  </si>
  <si>
    <t>Keten iplik</t>
  </si>
  <si>
    <t>Rami'den iplik</t>
  </si>
  <si>
    <t>Diğer iplikler</t>
  </si>
  <si>
    <t>Düz Boya (çift elyaflı grup)   ($/Kg)</t>
  </si>
  <si>
    <t>Düz Boya  (tek elyaflı grup)  ($/Kg)</t>
  </si>
  <si>
    <t xml:space="preserve">mensucatın ithali sırasında referans fiyat portalı uygulaması yapılmayacak, referans birim fiyat </t>
  </si>
  <si>
    <t>seviyesi 8,97 $/Kg. olarak işleme tabi tutulacaktır.</t>
  </si>
  <si>
    <r>
      <t>NOT</t>
    </r>
    <r>
      <rPr>
        <b/>
        <sz val="13"/>
        <rFont val="Arial"/>
        <family val="2"/>
      </rPr>
      <t xml:space="preserve">:    5208.21.10.00.19 GTİP konusu Bandaj, sargı bezi ve gazlı bez imalinde kullanılan </t>
    </r>
  </si>
  <si>
    <t>Akrilik renkli</t>
  </si>
  <si>
    <t>Tiftik (Renkli)</t>
  </si>
  <si>
    <t>UZUN ELYAF MAMUL KUMAŞ MALİYET HESAPLAMA METODU</t>
  </si>
  <si>
    <t>KISA ELYAF MAMUL KUMAŞ MALİYET HESAPLAMA METODU</t>
  </si>
  <si>
    <t>FILAMENT POLYESTER-NAYLON-SUNİ İPEK(VİSKOSE) VE DİĞERLERİ İLE KARIŞIMLARDAN HAM KUMAŞ MALİYET HESAPLAMA METODU</t>
  </si>
  <si>
    <t>FILAMENT POLYESTER-NAYLON-SUNİ İPEK(VİSKOSE) VE DİĞERLERİ İLE KARIŞIMLARDAN MAMUL KUMAŞ MALİYET HESAPLAMA METODU</t>
  </si>
  <si>
    <t>Pamuk(open-end,karde)</t>
  </si>
  <si>
    <t>Renkli pamuk(open-end,karde)</t>
  </si>
  <si>
    <t>Pamuk(penye)</t>
  </si>
  <si>
    <t>Renkli pamuk(penye)</t>
  </si>
  <si>
    <t>Organik Pamuk(KARDE)</t>
  </si>
  <si>
    <t>Organik Pamuk(PENYE)</t>
  </si>
</sst>
</file>

<file path=xl/styles.xml><?xml version="1.0" encoding="utf-8"?>
<styleSheet xmlns="http://schemas.openxmlformats.org/spreadsheetml/2006/main">
  <numFmts count="6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_ ;\-#,##0.00\ "/>
    <numFmt numFmtId="190" formatCode="#,##0.00\ &quot;$/Kg&quot;"/>
    <numFmt numFmtId="191" formatCode="0.000"/>
    <numFmt numFmtId="192" formatCode="_-[$¢-440A]* #,##0.00_ ;_-[$¢-440A]* \-#,##0.00\ ;_-[$¢-440A]* &quot;-&quot;??_ ;_-@_ "/>
    <numFmt numFmtId="193" formatCode="0.0"/>
    <numFmt numFmtId="194" formatCode="0.0000"/>
    <numFmt numFmtId="195" formatCode="0.0%"/>
    <numFmt numFmtId="196" formatCode="_-* #,##0.0000\ _T_L_-;\-* #,##0.0000\ _T_L_-;_-* &quot;-&quot;??\ _T_L_-;_-@_-"/>
    <numFmt numFmtId="197" formatCode="_-* #,##0.00\ _T_L_-;\-* #,##0.0000\ _T_L_-;_-* &quot;-&quot;??\ _T_L_-;_-@_-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\ &quot;&gt;100Gr&quot;"/>
    <numFmt numFmtId="209" formatCode="#,##0.00\ &quot;'&gt;100Gr'&quot;"/>
    <numFmt numFmtId="210" formatCode="#,##0.00\ &quot;$/Mt&quot;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.0000000"/>
    <numFmt numFmtId="215" formatCode="0.000000"/>
    <numFmt numFmtId="216" formatCode="0.00000"/>
  </numFmts>
  <fonts count="67">
    <font>
      <sz val="10"/>
      <name val="Arial"/>
      <family val="0"/>
    </font>
    <font>
      <b/>
      <sz val="10"/>
      <color indexed="9"/>
      <name val="Arial Tur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u val="single"/>
      <sz val="14"/>
      <color indexed="9"/>
      <name val="Arial Tur"/>
      <family val="2"/>
    </font>
    <font>
      <sz val="18"/>
      <name val="Arial Black"/>
      <family val="2"/>
    </font>
    <font>
      <b/>
      <u val="single"/>
      <sz val="10"/>
      <color indexed="10"/>
      <name val="Arial"/>
      <family val="2"/>
    </font>
    <font>
      <sz val="18"/>
      <color indexed="9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Tur"/>
      <family val="1"/>
    </font>
    <font>
      <sz val="11"/>
      <name val="Times New Roman Tur"/>
      <family val="1"/>
    </font>
    <font>
      <sz val="19"/>
      <name val="Arial Black"/>
      <family val="2"/>
    </font>
    <font>
      <sz val="20"/>
      <name val="Arial Black"/>
      <family val="2"/>
    </font>
    <font>
      <b/>
      <sz val="12"/>
      <color indexed="9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Tur"/>
      <family val="1"/>
    </font>
    <font>
      <b/>
      <sz val="18"/>
      <name val="Arial"/>
      <family val="2"/>
    </font>
    <font>
      <b/>
      <sz val="14"/>
      <name val="Times New Roman Tur"/>
      <family val="1"/>
    </font>
    <font>
      <sz val="16"/>
      <name val="Times New Roman Tur"/>
      <family val="1"/>
    </font>
    <font>
      <sz val="16"/>
      <name val="Arial"/>
      <family val="0"/>
    </font>
    <font>
      <sz val="16"/>
      <color indexed="22"/>
      <name val="Times New Roman Tur"/>
      <family val="1"/>
    </font>
    <font>
      <b/>
      <sz val="11"/>
      <name val="Times New Roman Tur"/>
      <family val="1"/>
    </font>
    <font>
      <sz val="11"/>
      <name val="Arial"/>
      <family val="2"/>
    </font>
    <font>
      <b/>
      <sz val="19"/>
      <name val="Arial"/>
      <family val="2"/>
    </font>
    <font>
      <sz val="10"/>
      <color indexed="9"/>
      <name val="Arial"/>
      <family val="2"/>
    </font>
    <font>
      <sz val="16"/>
      <name val="Arial Black"/>
      <family val="2"/>
    </font>
    <font>
      <b/>
      <i/>
      <sz val="12"/>
      <color indexed="10"/>
      <name val="Arial"/>
      <family val="2"/>
    </font>
    <font>
      <b/>
      <i/>
      <sz val="13"/>
      <color indexed="1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19" borderId="5" applyNumberFormat="0" applyAlignment="0" applyProtection="0"/>
    <xf numFmtId="0" fontId="59" fillId="20" borderId="6" applyNumberFormat="0" applyAlignment="0" applyProtection="0"/>
    <xf numFmtId="0" fontId="60" fillId="19" borderId="6" applyNumberFormat="0" applyAlignment="0" applyProtection="0"/>
    <xf numFmtId="0" fontId="61" fillId="21" borderId="7" applyNumberFormat="0" applyAlignment="0" applyProtection="0"/>
    <xf numFmtId="0" fontId="6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3" borderId="10" xfId="56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center"/>
    </xf>
    <xf numFmtId="190" fontId="4" fillId="0" borderId="16" xfId="0" applyNumberFormat="1" applyFont="1" applyBorder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89" fontId="1" fillId="33" borderId="15" xfId="56" applyNumberFormat="1" applyFont="1" applyFill="1" applyBorder="1" applyAlignment="1">
      <alignment horizontal="left"/>
    </xf>
    <xf numFmtId="188" fontId="0" fillId="0" borderId="11" xfId="0" applyNumberFormat="1" applyFill="1" applyBorder="1" applyAlignment="1">
      <alignment horizontal="center"/>
    </xf>
    <xf numFmtId="4" fontId="1" fillId="33" borderId="10" xfId="56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Fill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 horizontal="center"/>
    </xf>
    <xf numFmtId="18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90" fontId="4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1" fontId="4" fillId="0" borderId="16" xfId="56" applyFont="1" applyBorder="1" applyAlignment="1">
      <alignment horizontal="center"/>
    </xf>
    <xf numFmtId="171" fontId="4" fillId="0" borderId="14" xfId="56" applyFont="1" applyBorder="1" applyAlignment="1">
      <alignment horizontal="center"/>
    </xf>
    <xf numFmtId="189" fontId="1" fillId="33" borderId="15" xfId="56" applyNumberFormat="1" applyFont="1" applyFill="1" applyBorder="1" applyAlignment="1">
      <alignment horizontal="center" vertical="center" wrapText="1"/>
    </xf>
    <xf numFmtId="49" fontId="15" fillId="32" borderId="0" xfId="0" applyNumberFormat="1" applyFont="1" applyFill="1" applyBorder="1" applyAlignment="1">
      <alignment horizontal="center"/>
    </xf>
    <xf numFmtId="49" fontId="15" fillId="32" borderId="12" xfId="0" applyNumberFormat="1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/>
    </xf>
    <xf numFmtId="4" fontId="1" fillId="33" borderId="10" xfId="56" applyNumberFormat="1" applyFont="1" applyFill="1" applyBorder="1" applyAlignment="1">
      <alignment horizontal="center" vertical="center" wrapText="1"/>
    </xf>
    <xf numFmtId="188" fontId="1" fillId="33" borderId="10" xfId="56" applyNumberFormat="1" applyFont="1" applyFill="1" applyBorder="1" applyAlignment="1">
      <alignment horizontal="center" vertical="center" wrapText="1"/>
    </xf>
    <xf numFmtId="4" fontId="1" fillId="33" borderId="19" xfId="56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5" fillId="32" borderId="0" xfId="0" applyNumberFormat="1" applyFont="1" applyFill="1" applyBorder="1" applyAlignment="1">
      <alignment horizontal="center"/>
    </xf>
    <xf numFmtId="4" fontId="15" fillId="32" borderId="0" xfId="0" applyNumberFormat="1" applyFont="1" applyFill="1" applyBorder="1" applyAlignment="1">
      <alignment horizontal="center" vertical="center" wrapText="1"/>
    </xf>
    <xf numFmtId="4" fontId="15" fillId="32" borderId="12" xfId="0" applyNumberFormat="1" applyFont="1" applyFill="1" applyBorder="1" applyAlignment="1">
      <alignment horizontal="center" vertical="center" wrapText="1"/>
    </xf>
    <xf numFmtId="49" fontId="15" fillId="32" borderId="11" xfId="0" applyNumberFormat="1" applyFont="1" applyFill="1" applyBorder="1" applyAlignment="1">
      <alignment vertical="center" wrapText="1"/>
    </xf>
    <xf numFmtId="188" fontId="15" fillId="32" borderId="0" xfId="0" applyNumberFormat="1" applyFont="1" applyFill="1" applyBorder="1" applyAlignment="1">
      <alignment horizontal="center" vertical="center" wrapText="1"/>
    </xf>
    <xf numFmtId="189" fontId="1" fillId="33" borderId="15" xfId="56" applyNumberFormat="1" applyFont="1" applyFill="1" applyBorder="1" applyAlignment="1">
      <alignment horizontal="center" wrapText="1"/>
    </xf>
    <xf numFmtId="189" fontId="1" fillId="33" borderId="15" xfId="56" applyNumberFormat="1" applyFon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188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171" fontId="4" fillId="0" borderId="22" xfId="56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8" fillId="34" borderId="17" xfId="0" applyFont="1" applyFill="1" applyBorder="1" applyAlignment="1">
      <alignment horizontal="left"/>
    </xf>
    <xf numFmtId="0" fontId="11" fillId="34" borderId="2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indent="1"/>
    </xf>
    <xf numFmtId="0" fontId="10" fillId="34" borderId="10" xfId="0" applyFont="1" applyFill="1" applyBorder="1" applyAlignment="1">
      <alignment horizontal="left" indent="1"/>
    </xf>
    <xf numFmtId="0" fontId="11" fillId="34" borderId="17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left"/>
    </xf>
    <xf numFmtId="0" fontId="18" fillId="34" borderId="24" xfId="0" applyFont="1" applyFill="1" applyBorder="1" applyAlignment="1">
      <alignment horizontal="left"/>
    </xf>
    <xf numFmtId="0" fontId="18" fillId="34" borderId="14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21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center"/>
    </xf>
    <xf numFmtId="0" fontId="22" fillId="0" borderId="12" xfId="0" applyFont="1" applyBorder="1" applyAlignment="1">
      <alignment/>
    </xf>
    <xf numFmtId="0" fontId="12" fillId="34" borderId="33" xfId="0" applyFont="1" applyFill="1" applyBorder="1" applyAlignment="1">
      <alignment horizontal="left" vertical="center"/>
    </xf>
    <xf numFmtId="0" fontId="21" fillId="34" borderId="34" xfId="0" applyFont="1" applyFill="1" applyBorder="1" applyAlignment="1">
      <alignment horizontal="center" vertical="center"/>
    </xf>
    <xf numFmtId="0" fontId="22" fillId="0" borderId="34" xfId="0" applyFont="1" applyBorder="1" applyAlignment="1">
      <alignment/>
    </xf>
    <xf numFmtId="0" fontId="12" fillId="34" borderId="35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34" borderId="36" xfId="0" applyFont="1" applyFill="1" applyBorder="1" applyAlignment="1">
      <alignment horizontal="left" vertical="center"/>
    </xf>
    <xf numFmtId="0" fontId="21" fillId="34" borderId="2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left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34" borderId="39" xfId="0" applyFont="1" applyFill="1" applyBorder="1" applyAlignment="1">
      <alignment horizontal="left" vertical="center"/>
    </xf>
    <xf numFmtId="0" fontId="12" fillId="34" borderId="40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1" fillId="34" borderId="38" xfId="0" applyFont="1" applyFill="1" applyBorder="1" applyAlignment="1">
      <alignment horizontal="left" vertical="center"/>
    </xf>
    <xf numFmtId="0" fontId="21" fillId="34" borderId="3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left" vertical="center"/>
    </xf>
    <xf numFmtId="0" fontId="21" fillId="34" borderId="30" xfId="0" applyFont="1" applyFill="1" applyBorder="1" applyAlignment="1">
      <alignment horizontal="left" vertical="center"/>
    </xf>
    <xf numFmtId="0" fontId="21" fillId="34" borderId="33" xfId="0" applyFont="1" applyFill="1" applyBorder="1" applyAlignment="1">
      <alignment horizontal="left" vertical="center"/>
    </xf>
    <xf numFmtId="0" fontId="22" fillId="0" borderId="42" xfId="0" applyFont="1" applyBorder="1" applyAlignment="1">
      <alignment/>
    </xf>
    <xf numFmtId="0" fontId="18" fillId="34" borderId="16" xfId="0" applyFont="1" applyFill="1" applyBorder="1" applyAlignment="1">
      <alignment horizontal="left"/>
    </xf>
    <xf numFmtId="0" fontId="12" fillId="34" borderId="37" xfId="0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0" fontId="12" fillId="34" borderId="44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22" fillId="0" borderId="26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12" xfId="0" applyFont="1" applyBorder="1" applyAlignment="1">
      <alignment horizontal="centerContinuous" shrinkToFit="1"/>
    </xf>
    <xf numFmtId="0" fontId="24" fillId="34" borderId="25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2" fillId="0" borderId="34" xfId="0" applyFont="1" applyBorder="1" applyAlignment="1">
      <alignment shrinkToFit="1"/>
    </xf>
    <xf numFmtId="0" fontId="11" fillId="34" borderId="21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25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18" fillId="34" borderId="11" xfId="0" applyFont="1" applyFill="1" applyBorder="1" applyAlignment="1">
      <alignment horizontal="left"/>
    </xf>
    <xf numFmtId="0" fontId="22" fillId="0" borderId="45" xfId="0" applyFont="1" applyBorder="1" applyAlignment="1">
      <alignment/>
    </xf>
    <xf numFmtId="0" fontId="22" fillId="0" borderId="45" xfId="0" applyFont="1" applyBorder="1" applyAlignment="1">
      <alignment horizontal="center"/>
    </xf>
    <xf numFmtId="0" fontId="18" fillId="34" borderId="46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indent="3"/>
    </xf>
    <xf numFmtId="0" fontId="10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left" indent="1"/>
    </xf>
    <xf numFmtId="0" fontId="22" fillId="34" borderId="10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indent="1"/>
    </xf>
    <xf numFmtId="0" fontId="10" fillId="34" borderId="12" xfId="0" applyFont="1" applyFill="1" applyBorder="1" applyAlignment="1">
      <alignment horizontal="left" indent="1"/>
    </xf>
    <xf numFmtId="0" fontId="22" fillId="34" borderId="0" xfId="0" applyFont="1" applyFill="1" applyBorder="1" applyAlignment="1">
      <alignment horizontal="left" indent="1"/>
    </xf>
    <xf numFmtId="0" fontId="22" fillId="34" borderId="12" xfId="0" applyFont="1" applyFill="1" applyBorder="1" applyAlignment="1">
      <alignment horizontal="left" indent="1"/>
    </xf>
    <xf numFmtId="0" fontId="22" fillId="34" borderId="0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22" fillId="34" borderId="23" xfId="0" applyFont="1" applyFill="1" applyBorder="1" applyAlignment="1">
      <alignment/>
    </xf>
    <xf numFmtId="0" fontId="22" fillId="34" borderId="42" xfId="0" applyFont="1" applyFill="1" applyBorder="1" applyAlignment="1">
      <alignment/>
    </xf>
    <xf numFmtId="0" fontId="18" fillId="34" borderId="35" xfId="0" applyFont="1" applyFill="1" applyBorder="1" applyAlignment="1">
      <alignment horizontal="center"/>
    </xf>
    <xf numFmtId="0" fontId="18" fillId="34" borderId="47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11" fillId="34" borderId="46" xfId="0" applyFont="1" applyFill="1" applyBorder="1" applyAlignment="1">
      <alignment horizontal="left"/>
    </xf>
    <xf numFmtId="0" fontId="11" fillId="34" borderId="42" xfId="0" applyFont="1" applyFill="1" applyBorder="1" applyAlignment="1">
      <alignment horizontal="left"/>
    </xf>
    <xf numFmtId="0" fontId="18" fillId="34" borderId="36" xfId="0" applyFont="1" applyFill="1" applyBorder="1" applyAlignment="1">
      <alignment horizontal="left"/>
    </xf>
    <xf numFmtId="0" fontId="18" fillId="34" borderId="47" xfId="0" applyFont="1" applyFill="1" applyBorder="1" applyAlignment="1">
      <alignment horizontal="left"/>
    </xf>
    <xf numFmtId="0" fontId="18" fillId="34" borderId="49" xfId="0" applyFont="1" applyFill="1" applyBorder="1" applyAlignment="1">
      <alignment horizontal="center" vertical="center" shrinkToFit="1"/>
    </xf>
    <xf numFmtId="0" fontId="19" fillId="34" borderId="17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left" vertical="center" shrinkToFit="1"/>
    </xf>
    <xf numFmtId="0" fontId="26" fillId="0" borderId="0" xfId="0" applyFont="1" applyAlignment="1">
      <alignment horizontal="center"/>
    </xf>
    <xf numFmtId="0" fontId="12" fillId="34" borderId="43" xfId="0" applyFont="1" applyFill="1" applyBorder="1" applyAlignment="1">
      <alignment horizontal="left" vertical="center"/>
    </xf>
    <xf numFmtId="0" fontId="12" fillId="34" borderId="40" xfId="0" applyFont="1" applyFill="1" applyBorder="1" applyAlignment="1">
      <alignment horizontal="left" vertical="center"/>
    </xf>
    <xf numFmtId="4" fontId="0" fillId="0" borderId="0" xfId="0" applyNumberForma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4" fontId="1" fillId="33" borderId="10" xfId="56" applyNumberFormat="1" applyFont="1" applyFill="1" applyBorder="1" applyAlignment="1" applyProtection="1">
      <alignment horizontal="center" vertical="center" wrapText="1"/>
      <protection/>
    </xf>
    <xf numFmtId="4" fontId="1" fillId="33" borderId="19" xfId="56" applyNumberFormat="1" applyFont="1" applyFill="1" applyBorder="1" applyAlignment="1" applyProtection="1">
      <alignment horizontal="center" vertical="center" wrapText="1"/>
      <protection/>
    </xf>
    <xf numFmtId="4" fontId="15" fillId="32" borderId="0" xfId="0" applyNumberFormat="1" applyFont="1" applyFill="1" applyBorder="1" applyAlignment="1" applyProtection="1">
      <alignment horizontal="center" vertical="center" wrapText="1"/>
      <protection/>
    </xf>
    <xf numFmtId="4" fontId="15" fillId="3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4" fontId="1" fillId="32" borderId="0" xfId="0" applyNumberFormat="1" applyFont="1" applyFill="1" applyBorder="1" applyAlignment="1" applyProtection="1">
      <alignment horizontal="center"/>
      <protection/>
    </xf>
    <xf numFmtId="4" fontId="1" fillId="32" borderId="12" xfId="0" applyNumberFormat="1" applyFont="1" applyFill="1" applyBorder="1" applyAlignment="1" applyProtection="1">
      <alignment horizontal="center"/>
      <protection/>
    </xf>
    <xf numFmtId="190" fontId="4" fillId="0" borderId="16" xfId="0" applyNumberFormat="1" applyFont="1" applyBorder="1" applyAlignment="1" applyProtection="1">
      <alignment horizontal="center"/>
      <protection/>
    </xf>
    <xf numFmtId="190" fontId="4" fillId="0" borderId="14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" fontId="1" fillId="33" borderId="10" xfId="56" applyNumberFormat="1" applyFont="1" applyFill="1" applyBorder="1" applyAlignment="1" applyProtection="1">
      <alignment horizontal="center"/>
      <protection/>
    </xf>
    <xf numFmtId="190" fontId="4" fillId="0" borderId="0" xfId="0" applyNumberFormat="1" applyFont="1" applyBorder="1" applyAlignment="1" applyProtection="1">
      <alignment horizontal="center"/>
      <protection/>
    </xf>
    <xf numFmtId="49" fontId="15" fillId="32" borderId="0" xfId="0" applyNumberFormat="1" applyFont="1" applyFill="1" applyBorder="1" applyAlignment="1" applyProtection="1">
      <alignment horizontal="center"/>
      <protection/>
    </xf>
    <xf numFmtId="49" fontId="15" fillId="32" borderId="12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89" fontId="1" fillId="33" borderId="15" xfId="56" applyNumberFormat="1" applyFont="1" applyFill="1" applyBorder="1" applyAlignment="1" applyProtection="1">
      <alignment horizontal="center" vertical="center" wrapText="1"/>
      <protection/>
    </xf>
    <xf numFmtId="49" fontId="15" fillId="32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4" fontId="0" fillId="0" borderId="18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9" fontId="1" fillId="32" borderId="11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89" fontId="1" fillId="33" borderId="15" xfId="56" applyNumberFormat="1" applyFont="1" applyFill="1" applyBorder="1" applyAlignment="1" applyProtection="1">
      <alignment horizontal="left"/>
      <protection/>
    </xf>
    <xf numFmtId="4" fontId="1" fillId="33" borderId="10" xfId="56" applyNumberFormat="1" applyFont="1" applyFill="1" applyBorder="1" applyAlignment="1" applyProtection="1">
      <alignment horizontal="center" wrapText="1"/>
      <protection/>
    </xf>
    <xf numFmtId="189" fontId="1" fillId="33" borderId="15" xfId="56" applyNumberFormat="1" applyFont="1" applyFill="1" applyBorder="1" applyAlignment="1" applyProtection="1">
      <alignment horizontal="center" wrapText="1"/>
      <protection/>
    </xf>
    <xf numFmtId="49" fontId="15" fillId="32" borderId="11" xfId="0" applyNumberFormat="1" applyFont="1" applyFill="1" applyBorder="1" applyAlignment="1" applyProtection="1">
      <alignment/>
      <protection/>
    </xf>
    <xf numFmtId="4" fontId="15" fillId="32" borderId="0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188" fontId="1" fillId="32" borderId="0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" fontId="27" fillId="0" borderId="17" xfId="0" applyNumberFormat="1" applyFon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9" fontId="15" fillId="32" borderId="0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34" borderId="17" xfId="0" applyNumberFormat="1" applyFill="1" applyBorder="1" applyAlignment="1" applyProtection="1">
      <alignment horizontal="center"/>
      <protection/>
    </xf>
    <xf numFmtId="4" fontId="0" fillId="34" borderId="0" xfId="0" applyNumberFormat="1" applyFill="1" applyBorder="1" applyAlignment="1" applyProtection="1">
      <alignment horizontal="center"/>
      <protection/>
    </xf>
    <xf numFmtId="197" fontId="0" fillId="0" borderId="0" xfId="56" applyNumberFormat="1" applyFont="1" applyAlignment="1">
      <alignment/>
    </xf>
    <xf numFmtId="4" fontId="0" fillId="34" borderId="43" xfId="0" applyNumberFormat="1" applyFill="1" applyBorder="1" applyAlignment="1">
      <alignment horizontal="center"/>
    </xf>
    <xf numFmtId="197" fontId="0" fillId="0" borderId="0" xfId="56" applyNumberFormat="1" applyFont="1" applyAlignment="1">
      <alignment horizontal="center"/>
    </xf>
    <xf numFmtId="4" fontId="0" fillId="34" borderId="12" xfId="0" applyNumberFormat="1" applyFill="1" applyBorder="1" applyAlignment="1" applyProtection="1">
      <alignment horizontal="center"/>
      <protection/>
    </xf>
    <xf numFmtId="4" fontId="0" fillId="34" borderId="11" xfId="0" applyNumberForma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4" fontId="0" fillId="34" borderId="14" xfId="0" applyNumberFormat="1" applyFill="1" applyBorder="1" applyAlignment="1" applyProtection="1">
      <alignment horizontal="center"/>
      <protection/>
    </xf>
    <xf numFmtId="3" fontId="0" fillId="34" borderId="15" xfId="0" applyNumberFormat="1" applyFill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3" fontId="1" fillId="32" borderId="0" xfId="0" applyNumberFormat="1" applyFont="1" applyFill="1" applyBorder="1" applyAlignment="1" applyProtection="1">
      <alignment horizontal="center"/>
      <protection locked="0"/>
    </xf>
    <xf numFmtId="3" fontId="0" fillId="34" borderId="19" xfId="0" applyNumberFormat="1" applyFill="1" applyBorder="1" applyAlignment="1" applyProtection="1">
      <alignment horizontal="center"/>
      <protection locked="0"/>
    </xf>
    <xf numFmtId="0" fontId="12" fillId="34" borderId="38" xfId="0" applyFont="1" applyFill="1" applyBorder="1" applyAlignment="1">
      <alignment horizontal="left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4" fontId="0" fillId="0" borderId="54" xfId="0" applyNumberFormat="1" applyBorder="1" applyAlignment="1">
      <alignment horizontal="center"/>
    </xf>
    <xf numFmtId="0" fontId="0" fillId="34" borderId="55" xfId="0" applyFill="1" applyBorder="1" applyAlignment="1">
      <alignment/>
    </xf>
    <xf numFmtId="4" fontId="0" fillId="34" borderId="56" xfId="0" applyNumberFormat="1" applyFill="1" applyBorder="1" applyAlignment="1">
      <alignment horizontal="center"/>
    </xf>
    <xf numFmtId="3" fontId="0" fillId="35" borderId="56" xfId="0" applyNumberFormat="1" applyFill="1" applyBorder="1" applyAlignment="1" applyProtection="1">
      <alignment horizontal="center"/>
      <protection locked="0"/>
    </xf>
    <xf numFmtId="3" fontId="0" fillId="35" borderId="57" xfId="0" applyNumberFormat="1" applyFill="1" applyBorder="1" applyAlignment="1" applyProtection="1">
      <alignment horizontal="center"/>
      <protection locked="0"/>
    </xf>
    <xf numFmtId="3" fontId="0" fillId="35" borderId="56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4" fontId="0" fillId="0" borderId="56" xfId="0" applyNumberFormat="1" applyBorder="1" applyAlignment="1">
      <alignment horizontal="center"/>
    </xf>
    <xf numFmtId="0" fontId="0" fillId="34" borderId="53" xfId="0" applyFill="1" applyBorder="1" applyAlignment="1">
      <alignment/>
    </xf>
    <xf numFmtId="3" fontId="0" fillId="35" borderId="54" xfId="0" applyNumberFormat="1" applyFill="1" applyBorder="1" applyAlignment="1" applyProtection="1">
      <alignment horizontal="center"/>
      <protection locked="0"/>
    </xf>
    <xf numFmtId="3" fontId="0" fillId="35" borderId="58" xfId="0" applyNumberFormat="1" applyFill="1" applyBorder="1" applyAlignment="1" applyProtection="1">
      <alignment horizontal="center"/>
      <protection locked="0"/>
    </xf>
    <xf numFmtId="0" fontId="0" fillId="0" borderId="59" xfId="0" applyBorder="1" applyAlignment="1">
      <alignment/>
    </xf>
    <xf numFmtId="4" fontId="0" fillId="0" borderId="60" xfId="0" applyNumberFormat="1" applyBorder="1" applyAlignment="1">
      <alignment horizontal="center"/>
    </xf>
    <xf numFmtId="3" fontId="0" fillId="35" borderId="60" xfId="0" applyNumberFormat="1" applyFill="1" applyBorder="1" applyAlignment="1" applyProtection="1">
      <alignment horizontal="center"/>
      <protection locked="0"/>
    </xf>
    <xf numFmtId="3" fontId="0" fillId="35" borderId="61" xfId="0" applyNumberForma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34" borderId="59" xfId="0" applyFill="1" applyBorder="1" applyAlignment="1">
      <alignment/>
    </xf>
    <xf numFmtId="0" fontId="0" fillId="0" borderId="60" xfId="0" applyBorder="1" applyAlignment="1">
      <alignment horizontal="center"/>
    </xf>
    <xf numFmtId="4" fontId="0" fillId="34" borderId="54" xfId="0" applyNumberFormat="1" applyFill="1" applyBorder="1" applyAlignment="1">
      <alignment horizontal="center"/>
    </xf>
    <xf numFmtId="4" fontId="0" fillId="34" borderId="58" xfId="0" applyNumberFormat="1" applyFill="1" applyBorder="1" applyAlignment="1" applyProtection="1">
      <alignment horizontal="center"/>
      <protection/>
    </xf>
    <xf numFmtId="9" fontId="0" fillId="34" borderId="56" xfId="0" applyNumberFormat="1" applyFill="1" applyBorder="1" applyAlignment="1">
      <alignment horizontal="center"/>
    </xf>
    <xf numFmtId="0" fontId="0" fillId="34" borderId="62" xfId="0" applyFill="1" applyBorder="1" applyAlignment="1" applyProtection="1">
      <alignment horizontal="center"/>
      <protection locked="0"/>
    </xf>
    <xf numFmtId="4" fontId="0" fillId="34" borderId="63" xfId="0" applyNumberFormat="1" applyFill="1" applyBorder="1" applyAlignment="1" applyProtection="1">
      <alignment horizontal="center"/>
      <protection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4" fontId="0" fillId="34" borderId="66" xfId="0" applyNumberFormat="1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4" fontId="0" fillId="34" borderId="69" xfId="0" applyNumberFormat="1" applyFill="1" applyBorder="1" applyAlignment="1" applyProtection="1">
      <alignment horizontal="center"/>
      <protection/>
    </xf>
    <xf numFmtId="0" fontId="0" fillId="34" borderId="70" xfId="0" applyFill="1" applyBorder="1" applyAlignment="1">
      <alignment/>
    </xf>
    <xf numFmtId="4" fontId="0" fillId="34" borderId="71" xfId="0" applyNumberFormat="1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5" borderId="70" xfId="0" applyFill="1" applyBorder="1" applyAlignment="1" applyProtection="1">
      <alignment horizontal="center"/>
      <protection locked="0"/>
    </xf>
    <xf numFmtId="4" fontId="0" fillId="34" borderId="72" xfId="0" applyNumberFormat="1" applyFill="1" applyBorder="1" applyAlignment="1">
      <alignment horizontal="center"/>
    </xf>
    <xf numFmtId="4" fontId="0" fillId="34" borderId="60" xfId="0" applyNumberFormat="1" applyFill="1" applyBorder="1" applyAlignment="1">
      <alignment horizontal="center"/>
    </xf>
    <xf numFmtId="4" fontId="0" fillId="34" borderId="58" xfId="0" applyNumberFormat="1" applyFill="1" applyBorder="1" applyAlignment="1">
      <alignment horizontal="center"/>
    </xf>
    <xf numFmtId="4" fontId="0" fillId="34" borderId="57" xfId="0" applyNumberFormat="1" applyFill="1" applyBorder="1" applyAlignment="1">
      <alignment horizontal="center"/>
    </xf>
    <xf numFmtId="0" fontId="0" fillId="35" borderId="73" xfId="0" applyFill="1" applyBorder="1" applyAlignment="1" applyProtection="1">
      <alignment horizontal="center"/>
      <protection locked="0"/>
    </xf>
    <xf numFmtId="0" fontId="0" fillId="35" borderId="74" xfId="0" applyFill="1" applyBorder="1" applyAlignment="1" applyProtection="1">
      <alignment horizontal="center"/>
      <protection locked="0"/>
    </xf>
    <xf numFmtId="188" fontId="0" fillId="0" borderId="0" xfId="0" applyNumberFormat="1" applyFill="1" applyBorder="1" applyAlignment="1">
      <alignment horizontal="center"/>
    </xf>
    <xf numFmtId="4" fontId="0" fillId="34" borderId="75" xfId="0" applyNumberFormat="1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4" fontId="0" fillId="34" borderId="76" xfId="0" applyNumberFormat="1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4" fontId="0" fillId="34" borderId="77" xfId="0" applyNumberForma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9" fontId="0" fillId="0" borderId="56" xfId="0" applyNumberForma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35" borderId="55" xfId="0" applyFill="1" applyBorder="1" applyAlignment="1" applyProtection="1">
      <alignment horizontal="center"/>
      <protection locked="0"/>
    </xf>
    <xf numFmtId="4" fontId="0" fillId="35" borderId="58" xfId="0" applyNumberFormat="1" applyFill="1" applyBorder="1" applyAlignment="1" applyProtection="1">
      <alignment horizontal="center"/>
      <protection locked="0"/>
    </xf>
    <xf numFmtId="4" fontId="0" fillId="35" borderId="57" xfId="0" applyNumberForma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/>
    </xf>
    <xf numFmtId="4" fontId="0" fillId="0" borderId="56" xfId="0" applyNumberFormat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4" fontId="0" fillId="0" borderId="60" xfId="0" applyNumberFormat="1" applyBorder="1" applyAlignment="1" applyProtection="1">
      <alignment horizontal="center"/>
      <protection/>
    </xf>
    <xf numFmtId="4" fontId="0" fillId="35" borderId="60" xfId="0" applyNumberFormat="1" applyFill="1" applyBorder="1" applyAlignment="1" applyProtection="1">
      <alignment horizontal="center"/>
      <protection locked="0"/>
    </xf>
    <xf numFmtId="4" fontId="0" fillId="35" borderId="61" xfId="0" applyNumberFormat="1" applyFill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53" xfId="0" applyFill="1" applyBorder="1" applyAlignment="1">
      <alignment/>
    </xf>
    <xf numFmtId="0" fontId="0" fillId="0" borderId="56" xfId="0" applyBorder="1" applyAlignment="1">
      <alignment horizontal="center"/>
    </xf>
    <xf numFmtId="4" fontId="0" fillId="35" borderId="56" xfId="0" applyNumberFormat="1" applyFill="1" applyBorder="1" applyAlignment="1" applyProtection="1">
      <alignment horizontal="center"/>
      <protection/>
    </xf>
    <xf numFmtId="4" fontId="0" fillId="35" borderId="57" xfId="0" applyNumberFormat="1" applyFill="1" applyBorder="1" applyAlignment="1" applyProtection="1">
      <alignment horizontal="center"/>
      <protection/>
    </xf>
    <xf numFmtId="0" fontId="0" fillId="0" borderId="70" xfId="0" applyBorder="1" applyAlignment="1">
      <alignment/>
    </xf>
    <xf numFmtId="0" fontId="0" fillId="0" borderId="72" xfId="0" applyBorder="1" applyAlignment="1">
      <alignment horizontal="center"/>
    </xf>
    <xf numFmtId="4" fontId="0" fillId="0" borderId="72" xfId="0" applyNumberFormat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0" fontId="0" fillId="35" borderId="75" xfId="0" applyFill="1" applyBorder="1" applyAlignment="1" applyProtection="1">
      <alignment horizontal="center"/>
      <protection locked="0"/>
    </xf>
    <xf numFmtId="0" fontId="0" fillId="35" borderId="76" xfId="0" applyFill="1" applyBorder="1" applyAlignment="1" applyProtection="1">
      <alignment horizontal="center"/>
      <protection locked="0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 applyProtection="1">
      <alignment horizontal="center"/>
      <protection locked="0"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5" xfId="0" applyBorder="1" applyAlignment="1">
      <alignment/>
    </xf>
    <xf numFmtId="4" fontId="0" fillId="0" borderId="85" xfId="0" applyNumberFormat="1" applyFill="1" applyBorder="1" applyAlignment="1">
      <alignment horizontal="center"/>
    </xf>
    <xf numFmtId="9" fontId="0" fillId="0" borderId="85" xfId="0" applyNumberFormat="1" applyFill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35" borderId="57" xfId="0" applyNumberFormat="1" applyFill="1" applyBorder="1" applyAlignment="1">
      <alignment horizontal="center"/>
    </xf>
    <xf numFmtId="4" fontId="0" fillId="0" borderId="69" xfId="0" applyNumberFormat="1" applyBorder="1" applyAlignment="1" applyProtection="1">
      <alignment horizontal="center"/>
      <protection locked="0"/>
    </xf>
    <xf numFmtId="4" fontId="0" fillId="0" borderId="63" xfId="0" applyNumberFormat="1" applyBorder="1" applyAlignment="1" applyProtection="1">
      <alignment horizontal="center"/>
      <protection locked="0"/>
    </xf>
    <xf numFmtId="188" fontId="0" fillId="0" borderId="83" xfId="0" applyNumberFormat="1" applyFill="1" applyBorder="1" applyAlignment="1">
      <alignment horizontal="center"/>
    </xf>
    <xf numFmtId="188" fontId="0" fillId="0" borderId="84" xfId="0" applyNumberForma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4" fontId="0" fillId="0" borderId="75" xfId="0" applyNumberFormat="1" applyBorder="1" applyAlignment="1">
      <alignment horizontal="center"/>
    </xf>
    <xf numFmtId="4" fontId="0" fillId="0" borderId="76" xfId="0" applyNumberFormat="1" applyBorder="1" applyAlignment="1">
      <alignment horizontal="center"/>
    </xf>
    <xf numFmtId="4" fontId="0" fillId="0" borderId="83" xfId="0" applyNumberFormat="1" applyFill="1" applyBorder="1" applyAlignment="1">
      <alignment horizontal="center"/>
    </xf>
    <xf numFmtId="9" fontId="0" fillId="0" borderId="76" xfId="0" applyNumberFormat="1" applyFill="1" applyBorder="1" applyAlignment="1">
      <alignment horizontal="center"/>
    </xf>
    <xf numFmtId="4" fontId="0" fillId="0" borderId="83" xfId="0" applyNumberFormat="1" applyBorder="1" applyAlignment="1">
      <alignment horizontal="center"/>
    </xf>
    <xf numFmtId="4" fontId="0" fillId="0" borderId="84" xfId="0" applyNumberFormat="1" applyBorder="1" applyAlignment="1">
      <alignment horizontal="center"/>
    </xf>
    <xf numFmtId="4" fontId="0" fillId="0" borderId="56" xfId="0" applyNumberFormat="1" applyFill="1" applyBorder="1" applyAlignment="1">
      <alignment horizontal="center"/>
    </xf>
    <xf numFmtId="3" fontId="0" fillId="35" borderId="57" xfId="0" applyNumberFormat="1" applyFill="1" applyBorder="1" applyAlignment="1">
      <alignment horizontal="center"/>
    </xf>
    <xf numFmtId="0" fontId="0" fillId="35" borderId="53" xfId="0" applyFill="1" applyBorder="1" applyAlignment="1" applyProtection="1">
      <alignment horizontal="center"/>
      <protection locked="0"/>
    </xf>
    <xf numFmtId="0" fontId="0" fillId="0" borderId="86" xfId="0" applyFill="1" applyBorder="1" applyAlignment="1">
      <alignment horizontal="center"/>
    </xf>
    <xf numFmtId="0" fontId="0" fillId="0" borderId="53" xfId="0" applyBorder="1" applyAlignment="1" applyProtection="1">
      <alignment/>
      <protection/>
    </xf>
    <xf numFmtId="4" fontId="0" fillId="0" borderId="54" xfId="0" applyNumberFormat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/>
      <protection/>
    </xf>
    <xf numFmtId="0" fontId="0" fillId="0" borderId="54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9" fontId="0" fillId="0" borderId="56" xfId="0" applyNumberFormat="1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 horizontal="center"/>
      <protection/>
    </xf>
    <xf numFmtId="188" fontId="0" fillId="0" borderId="55" xfId="0" applyNumberFormat="1" applyFill="1" applyBorder="1" applyAlignment="1" applyProtection="1">
      <alignment horizontal="center"/>
      <protection/>
    </xf>
    <xf numFmtId="188" fontId="0" fillId="0" borderId="59" xfId="0" applyNumberFormat="1" applyFill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/>
      <protection/>
    </xf>
    <xf numFmtId="0" fontId="0" fillId="0" borderId="65" xfId="0" applyFill="1" applyBorder="1" applyAlignment="1" applyProtection="1">
      <alignment/>
      <protection/>
    </xf>
    <xf numFmtId="0" fontId="0" fillId="0" borderId="70" xfId="0" applyFill="1" applyBorder="1" applyAlignment="1" applyProtection="1">
      <alignment/>
      <protection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4" fontId="0" fillId="0" borderId="85" xfId="0" applyNumberForma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/>
      <protection/>
    </xf>
    <xf numFmtId="0" fontId="0" fillId="0" borderId="72" xfId="0" applyBorder="1" applyAlignment="1" applyProtection="1">
      <alignment horizontal="center"/>
      <protection/>
    </xf>
    <xf numFmtId="0" fontId="12" fillId="34" borderId="20" xfId="0" applyFont="1" applyFill="1" applyBorder="1" applyAlignment="1">
      <alignment horizontal="center" vertical="top"/>
    </xf>
    <xf numFmtId="0" fontId="12" fillId="34" borderId="38" xfId="0" applyFont="1" applyFill="1" applyBorder="1" applyAlignment="1">
      <alignment horizontal="center" vertical="top"/>
    </xf>
    <xf numFmtId="0" fontId="21" fillId="34" borderId="38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12" fillId="34" borderId="89" xfId="0" applyFont="1" applyFill="1" applyBorder="1" applyAlignment="1">
      <alignment horizontal="left" vertical="center"/>
    </xf>
    <xf numFmtId="0" fontId="12" fillId="34" borderId="90" xfId="0" applyFont="1" applyFill="1" applyBorder="1" applyAlignment="1">
      <alignment horizontal="left" vertical="center"/>
    </xf>
    <xf numFmtId="0" fontId="21" fillId="34" borderId="32" xfId="0" applyFont="1" applyFill="1" applyBorder="1" applyAlignment="1">
      <alignment horizontal="center" vertical="center"/>
    </xf>
    <xf numFmtId="0" fontId="12" fillId="34" borderId="91" xfId="0" applyFont="1" applyFill="1" applyBorder="1" applyAlignment="1">
      <alignment horizontal="left" vertical="center"/>
    </xf>
    <xf numFmtId="0" fontId="12" fillId="34" borderId="77" xfId="0" applyFont="1" applyFill="1" applyBorder="1" applyAlignment="1">
      <alignment horizontal="left" vertical="center"/>
    </xf>
    <xf numFmtId="0" fontId="22" fillId="0" borderId="92" xfId="0" applyFont="1" applyBorder="1" applyAlignment="1">
      <alignment/>
    </xf>
    <xf numFmtId="0" fontId="18" fillId="34" borderId="93" xfId="0" applyFont="1" applyFill="1" applyBorder="1" applyAlignment="1">
      <alignment horizontal="center"/>
    </xf>
    <xf numFmtId="0" fontId="18" fillId="34" borderId="94" xfId="0" applyFont="1" applyFill="1" applyBorder="1" applyAlignment="1">
      <alignment horizontal="center"/>
    </xf>
    <xf numFmtId="0" fontId="22" fillId="0" borderId="95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46" xfId="0" applyFont="1" applyBorder="1" applyAlignment="1">
      <alignment/>
    </xf>
    <xf numFmtId="0" fontId="11" fillId="34" borderId="37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9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indent="3"/>
    </xf>
    <xf numFmtId="0" fontId="10" fillId="34" borderId="2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171" fontId="29" fillId="0" borderId="96" xfId="56" applyFont="1" applyBorder="1" applyAlignment="1">
      <alignment horizontal="center"/>
    </xf>
    <xf numFmtId="171" fontId="29" fillId="0" borderId="19" xfId="56" applyFont="1" applyBorder="1" applyAlignment="1">
      <alignment horizontal="center"/>
    </xf>
    <xf numFmtId="171" fontId="29" fillId="0" borderId="16" xfId="56" applyFont="1" applyBorder="1" applyAlignment="1">
      <alignment horizontal="center"/>
    </xf>
    <xf numFmtId="171" fontId="29" fillId="0" borderId="14" xfId="56" applyFont="1" applyBorder="1" applyAlignment="1">
      <alignment horizontal="center"/>
    </xf>
    <xf numFmtId="171" fontId="29" fillId="0" borderId="22" xfId="56" applyFont="1" applyBorder="1" applyAlignment="1">
      <alignment horizontal="center"/>
    </xf>
    <xf numFmtId="4" fontId="29" fillId="34" borderId="22" xfId="0" applyNumberFormat="1" applyFont="1" applyFill="1" applyBorder="1" applyAlignment="1">
      <alignment horizontal="center"/>
    </xf>
    <xf numFmtId="4" fontId="29" fillId="34" borderId="14" xfId="0" applyNumberFormat="1" applyFont="1" applyFill="1" applyBorder="1" applyAlignment="1">
      <alignment horizontal="center"/>
    </xf>
    <xf numFmtId="4" fontId="29" fillId="0" borderId="14" xfId="0" applyNumberFormat="1" applyFont="1" applyBorder="1" applyAlignment="1">
      <alignment horizontal="center"/>
    </xf>
    <xf numFmtId="4" fontId="29" fillId="34" borderId="16" xfId="0" applyNumberFormat="1" applyFont="1" applyFill="1" applyBorder="1" applyAlignment="1">
      <alignment horizontal="center"/>
    </xf>
    <xf numFmtId="171" fontId="29" fillId="0" borderId="15" xfId="56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171" fontId="29" fillId="0" borderId="15" xfId="56" applyFont="1" applyBorder="1" applyAlignment="1" applyProtection="1">
      <alignment horizontal="center"/>
      <protection/>
    </xf>
    <xf numFmtId="171" fontId="29" fillId="0" borderId="19" xfId="56" applyFont="1" applyBorder="1" applyAlignment="1" applyProtection="1">
      <alignment horizontal="center"/>
      <protection/>
    </xf>
    <xf numFmtId="171" fontId="29" fillId="0" borderId="16" xfId="56" applyFont="1" applyBorder="1" applyAlignment="1" applyProtection="1">
      <alignment horizontal="center"/>
      <protection/>
    </xf>
    <xf numFmtId="171" fontId="29" fillId="0" borderId="14" xfId="56" applyFont="1" applyBorder="1" applyAlignment="1" applyProtection="1">
      <alignment horizontal="center"/>
      <protection/>
    </xf>
    <xf numFmtId="4" fontId="29" fillId="0" borderId="16" xfId="0" applyNumberFormat="1" applyFont="1" applyBorder="1" applyAlignment="1" applyProtection="1">
      <alignment horizontal="center"/>
      <protection/>
    </xf>
    <xf numFmtId="4" fontId="29" fillId="0" borderId="14" xfId="0" applyNumberFormat="1" applyFont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4" fontId="0" fillId="34" borderId="62" xfId="0" applyNumberFormat="1" applyFill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3" fontId="0" fillId="34" borderId="11" xfId="0" applyNumberFormat="1" applyFill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35" borderId="27" xfId="0" applyNumberFormat="1" applyFill="1" applyBorder="1" applyAlignment="1" applyProtection="1">
      <alignment horizontal="center"/>
      <protection locked="0"/>
    </xf>
    <xf numFmtId="0" fontId="0" fillId="34" borderId="68" xfId="0" applyFill="1" applyBorder="1" applyAlignment="1">
      <alignment/>
    </xf>
    <xf numFmtId="4" fontId="0" fillId="0" borderId="97" xfId="0" applyNumberFormat="1" applyBorder="1" applyAlignment="1">
      <alignment horizontal="center"/>
    </xf>
    <xf numFmtId="4" fontId="0" fillId="0" borderId="98" xfId="0" applyNumberFormat="1" applyBorder="1" applyAlignment="1">
      <alignment horizontal="center"/>
    </xf>
    <xf numFmtId="3" fontId="0" fillId="35" borderId="99" xfId="0" applyNumberFormat="1" applyFill="1" applyBorder="1" applyAlignment="1" applyProtection="1">
      <alignment horizontal="center"/>
      <protection locked="0"/>
    </xf>
    <xf numFmtId="4" fontId="0" fillId="0" borderId="57" xfId="0" applyNumberFormat="1" applyBorder="1" applyAlignment="1">
      <alignment horizontal="center"/>
    </xf>
    <xf numFmtId="4" fontId="0" fillId="34" borderId="100" xfId="0" applyNumberFormat="1" applyFill="1" applyBorder="1" applyAlignment="1">
      <alignment horizontal="center"/>
    </xf>
    <xf numFmtId="4" fontId="0" fillId="34" borderId="53" xfId="0" applyNumberFormat="1" applyFill="1" applyBorder="1" applyAlignment="1">
      <alignment horizontal="center"/>
    </xf>
    <xf numFmtId="4" fontId="0" fillId="34" borderId="55" xfId="0" applyNumberFormat="1" applyFill="1" applyBorder="1" applyAlignment="1">
      <alignment horizontal="center"/>
    </xf>
    <xf numFmtId="4" fontId="0" fillId="34" borderId="59" xfId="0" applyNumberFormat="1" applyFill="1" applyBorder="1" applyAlignment="1">
      <alignment horizontal="center"/>
    </xf>
    <xf numFmtId="4" fontId="0" fillId="34" borderId="61" xfId="0" applyNumberFormat="1" applyFill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3" fontId="0" fillId="35" borderId="97" xfId="0" applyNumberFormat="1" applyFill="1" applyBorder="1" applyAlignment="1" applyProtection="1">
      <alignment horizontal="center"/>
      <protection locked="0"/>
    </xf>
    <xf numFmtId="3" fontId="0" fillId="35" borderId="101" xfId="0" applyNumberFormat="1" applyFill="1" applyBorder="1" applyAlignment="1" applyProtection="1">
      <alignment horizontal="center"/>
      <protection locked="0"/>
    </xf>
    <xf numFmtId="4" fontId="0" fillId="0" borderId="58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55" xfId="0" applyNumberFormat="1" applyBorder="1" applyAlignment="1" applyProtection="1">
      <alignment horizontal="center"/>
      <protection/>
    </xf>
    <xf numFmtId="4" fontId="0" fillId="0" borderId="57" xfId="0" applyNumberFormat="1" applyBorder="1" applyAlignment="1" applyProtection="1">
      <alignment horizontal="center"/>
      <protection/>
    </xf>
    <xf numFmtId="4" fontId="0" fillId="0" borderId="53" xfId="0" applyNumberFormat="1" applyBorder="1" applyAlignment="1" applyProtection="1">
      <alignment horizontal="center"/>
      <protection/>
    </xf>
    <xf numFmtId="4" fontId="0" fillId="0" borderId="58" xfId="0" applyNumberFormat="1" applyBorder="1" applyAlignment="1" applyProtection="1">
      <alignment horizontal="center"/>
      <protection/>
    </xf>
    <xf numFmtId="198" fontId="0" fillId="0" borderId="54" xfId="0" applyNumberFormat="1" applyBorder="1" applyAlignment="1">
      <alignment horizontal="center"/>
    </xf>
    <xf numFmtId="198" fontId="0" fillId="0" borderId="56" xfId="0" applyNumberFormat="1" applyBorder="1" applyAlignment="1">
      <alignment horizontal="center"/>
    </xf>
    <xf numFmtId="198" fontId="0" fillId="0" borderId="60" xfId="0" applyNumberFormat="1" applyBorder="1" applyAlignment="1">
      <alignment horizontal="center"/>
    </xf>
    <xf numFmtId="4" fontId="0" fillId="0" borderId="56" xfId="0" applyNumberFormat="1" applyBorder="1" applyAlignment="1">
      <alignment horizontal="left" indent="3"/>
    </xf>
    <xf numFmtId="198" fontId="0" fillId="0" borderId="60" xfId="0" applyNumberFormat="1" applyBorder="1" applyAlignment="1" applyProtection="1">
      <alignment horizontal="center"/>
      <protection/>
    </xf>
    <xf numFmtId="198" fontId="29" fillId="0" borderId="16" xfId="0" applyNumberFormat="1" applyFont="1" applyBorder="1" applyAlignment="1">
      <alignment horizontal="center"/>
    </xf>
    <xf numFmtId="198" fontId="29" fillId="34" borderId="16" xfId="0" applyNumberFormat="1" applyFont="1" applyFill="1" applyBorder="1" applyAlignment="1">
      <alignment horizontal="center"/>
    </xf>
    <xf numFmtId="198" fontId="29" fillId="0" borderId="22" xfId="0" applyNumberFormat="1" applyFont="1" applyBorder="1" applyAlignment="1">
      <alignment horizontal="center"/>
    </xf>
    <xf numFmtId="0" fontId="0" fillId="0" borderId="102" xfId="0" applyBorder="1" applyAlignment="1">
      <alignment/>
    </xf>
    <xf numFmtId="4" fontId="0" fillId="34" borderId="56" xfId="0" applyNumberFormat="1" applyFill="1" applyBorder="1" applyAlignment="1">
      <alignment horizontal="left"/>
    </xf>
    <xf numFmtId="0" fontId="0" fillId="34" borderId="68" xfId="0" applyFill="1" applyBorder="1" applyAlignment="1" applyProtection="1">
      <alignment horizontal="center"/>
      <protection locked="0"/>
    </xf>
    <xf numFmtId="0" fontId="0" fillId="34" borderId="76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4" fontId="0" fillId="34" borderId="55" xfId="0" applyNumberFormat="1" applyFill="1" applyBorder="1" applyAlignment="1">
      <alignment horizontal="left"/>
    </xf>
    <xf numFmtId="4" fontId="0" fillId="0" borderId="101" xfId="0" applyNumberFormat="1" applyFont="1" applyBorder="1" applyAlignment="1">
      <alignment horizontal="center"/>
    </xf>
    <xf numFmtId="4" fontId="0" fillId="34" borderId="62" xfId="0" applyNumberFormat="1" applyFont="1" applyFill="1" applyBorder="1" applyAlignment="1">
      <alignment horizontal="center"/>
    </xf>
    <xf numFmtId="4" fontId="0" fillId="34" borderId="71" xfId="0" applyNumberFormat="1" applyFont="1" applyFill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198" fontId="29" fillId="0" borderId="0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190" fontId="30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31" fillId="0" borderId="0" xfId="0" applyNumberFormat="1" applyFont="1" applyBorder="1" applyAlignment="1" applyProtection="1">
      <alignment horizontal="center"/>
      <protection locked="0"/>
    </xf>
    <xf numFmtId="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/>
    </xf>
    <xf numFmtId="4" fontId="0" fillId="0" borderId="55" xfId="0" applyNumberForma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 wrapText="1"/>
    </xf>
    <xf numFmtId="0" fontId="0" fillId="0" borderId="55" xfId="49" applyBorder="1">
      <alignment/>
      <protection/>
    </xf>
    <xf numFmtId="4" fontId="0" fillId="0" borderId="55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98" xfId="49" applyNumberFormat="1" applyFont="1" applyBorder="1" applyAlignment="1">
      <alignment horizontal="center"/>
      <protection/>
    </xf>
    <xf numFmtId="4" fontId="0" fillId="0" borderId="54" xfId="49" applyNumberFormat="1" applyBorder="1" applyAlignment="1">
      <alignment horizontal="center"/>
      <protection/>
    </xf>
    <xf numFmtId="4" fontId="0" fillId="0" borderId="56" xfId="49" applyNumberFormat="1" applyBorder="1" applyAlignment="1">
      <alignment horizontal="center"/>
      <protection/>
    </xf>
    <xf numFmtId="4" fontId="0" fillId="34" borderId="56" xfId="49" applyNumberFormat="1" applyFill="1" applyBorder="1" applyAlignment="1">
      <alignment horizontal="center"/>
      <protection/>
    </xf>
    <xf numFmtId="4" fontId="0" fillId="0" borderId="56" xfId="49" applyNumberFormat="1" applyBorder="1" applyAlignment="1" applyProtection="1">
      <alignment horizontal="center"/>
      <protection/>
    </xf>
    <xf numFmtId="4" fontId="0" fillId="0" borderId="97" xfId="49" applyNumberFormat="1" applyBorder="1" applyAlignment="1">
      <alignment horizontal="center"/>
      <protection/>
    </xf>
    <xf numFmtId="4" fontId="0" fillId="0" borderId="55" xfId="0" applyNumberFormat="1" applyFill="1" applyBorder="1" applyAlignment="1">
      <alignment horizontal="center" vertical="center"/>
    </xf>
    <xf numFmtId="4" fontId="0" fillId="0" borderId="57" xfId="0" applyNumberFormat="1" applyFill="1" applyBorder="1" applyAlignment="1">
      <alignment horizontal="center" vertical="center"/>
    </xf>
    <xf numFmtId="4" fontId="0" fillId="0" borderId="53" xfId="0" applyNumberFormat="1" applyFill="1" applyBorder="1" applyAlignment="1">
      <alignment horizontal="center"/>
    </xf>
    <xf numFmtId="4" fontId="0" fillId="0" borderId="58" xfId="0" applyNumberFormat="1" applyFill="1" applyBorder="1" applyAlignment="1">
      <alignment horizontal="center"/>
    </xf>
    <xf numFmtId="4" fontId="0" fillId="0" borderId="55" xfId="0" applyNumberFormat="1" applyFill="1" applyBorder="1" applyAlignment="1">
      <alignment horizontal="center"/>
    </xf>
    <xf numFmtId="4" fontId="0" fillId="0" borderId="57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4" fontId="0" fillId="0" borderId="54" xfId="0" applyNumberFormat="1" applyFill="1" applyBorder="1" applyAlignment="1">
      <alignment horizontal="center"/>
    </xf>
    <xf numFmtId="4" fontId="0" fillId="0" borderId="103" xfId="0" applyNumberFormat="1" applyFill="1" applyBorder="1" applyAlignment="1">
      <alignment horizontal="center"/>
    </xf>
    <xf numFmtId="4" fontId="0" fillId="0" borderId="101" xfId="49" applyNumberFormat="1" applyFont="1" applyBorder="1" applyAlignment="1">
      <alignment horizontal="center"/>
      <protection/>
    </xf>
    <xf numFmtId="4" fontId="0" fillId="0" borderId="62" xfId="49" applyNumberFormat="1" applyFont="1" applyBorder="1" applyAlignment="1">
      <alignment horizontal="center"/>
      <protection/>
    </xf>
    <xf numFmtId="4" fontId="0" fillId="0" borderId="62" xfId="49" applyNumberFormat="1" applyFont="1" applyBorder="1" applyAlignment="1" applyProtection="1">
      <alignment horizontal="center"/>
      <protection/>
    </xf>
    <xf numFmtId="4" fontId="0" fillId="0" borderId="62" xfId="0" applyNumberFormat="1" applyFill="1" applyBorder="1" applyAlignment="1">
      <alignment horizontal="center"/>
    </xf>
    <xf numFmtId="3" fontId="0" fillId="35" borderId="53" xfId="0" applyNumberFormat="1" applyFill="1" applyBorder="1" applyAlignment="1" applyProtection="1">
      <alignment horizontal="center"/>
      <protection locked="0"/>
    </xf>
    <xf numFmtId="4" fontId="0" fillId="0" borderId="101" xfId="0" applyNumberFormat="1" applyBorder="1" applyAlignment="1">
      <alignment horizontal="center"/>
    </xf>
    <xf numFmtId="4" fontId="0" fillId="0" borderId="104" xfId="0" applyNumberFormat="1" applyBorder="1" applyAlignment="1">
      <alignment horizontal="center"/>
    </xf>
    <xf numFmtId="3" fontId="0" fillId="35" borderId="55" xfId="0" applyNumberFormat="1" applyFill="1" applyBorder="1" applyAlignment="1" applyProtection="1">
      <alignment horizontal="center"/>
      <protection locked="0"/>
    </xf>
    <xf numFmtId="3" fontId="0" fillId="35" borderId="59" xfId="0" applyNumberFormat="1" applyFill="1" applyBorder="1" applyAlignment="1" applyProtection="1">
      <alignment horizontal="center"/>
      <protection locked="0"/>
    </xf>
    <xf numFmtId="171" fontId="29" fillId="0" borderId="105" xfId="56" applyFont="1" applyBorder="1" applyAlignment="1">
      <alignment horizontal="center"/>
    </xf>
    <xf numFmtId="4" fontId="0" fillId="0" borderId="106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190" fontId="4" fillId="0" borderId="107" xfId="0" applyNumberFormat="1" applyFont="1" applyBorder="1" applyAlignment="1">
      <alignment horizontal="center"/>
    </xf>
    <xf numFmtId="171" fontId="29" fillId="0" borderId="108" xfId="56" applyFont="1" applyBorder="1" applyAlignment="1">
      <alignment horizontal="center"/>
    </xf>
    <xf numFmtId="4" fontId="0" fillId="0" borderId="109" xfId="0" applyNumberFormat="1" applyBorder="1" applyAlignment="1">
      <alignment horizontal="center"/>
    </xf>
    <xf numFmtId="4" fontId="0" fillId="0" borderId="110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04" xfId="0" applyBorder="1" applyAlignment="1">
      <alignment horizontal="center"/>
    </xf>
    <xf numFmtId="4" fontId="0" fillId="0" borderId="72" xfId="0" applyNumberFormat="1" applyBorder="1" applyAlignment="1" applyProtection="1">
      <alignment horizontal="center"/>
      <protection locked="0"/>
    </xf>
    <xf numFmtId="0" fontId="0" fillId="0" borderId="111" xfId="0" applyFill="1" applyBorder="1" applyAlignment="1">
      <alignment horizontal="center"/>
    </xf>
    <xf numFmtId="0" fontId="0" fillId="35" borderId="112" xfId="0" applyFill="1" applyBorder="1" applyAlignment="1" applyProtection="1">
      <alignment horizontal="center"/>
      <protection locked="0"/>
    </xf>
    <xf numFmtId="0" fontId="0" fillId="35" borderId="113" xfId="0" applyFill="1" applyBorder="1" applyAlignment="1" applyProtection="1">
      <alignment horizontal="center"/>
      <protection locked="0"/>
    </xf>
    <xf numFmtId="4" fontId="0" fillId="0" borderId="56" xfId="49" applyNumberFormat="1" applyFont="1" applyFill="1" applyBorder="1" applyAlignment="1">
      <alignment horizontal="center"/>
      <protection/>
    </xf>
    <xf numFmtId="4" fontId="0" fillId="0" borderId="62" xfId="49" applyNumberFormat="1" applyFont="1" applyFill="1" applyBorder="1" applyAlignment="1">
      <alignment horizontal="center"/>
      <protection/>
    </xf>
    <xf numFmtId="0" fontId="0" fillId="0" borderId="53" xfId="49" applyBorder="1">
      <alignment/>
      <protection/>
    </xf>
    <xf numFmtId="188" fontId="0" fillId="35" borderId="54" xfId="0" applyNumberFormat="1" applyFill="1" applyBorder="1" applyAlignment="1" applyProtection="1">
      <alignment horizontal="center"/>
      <protection locked="0"/>
    </xf>
    <xf numFmtId="188" fontId="0" fillId="35" borderId="58" xfId="0" applyNumberFormat="1" applyFill="1" applyBorder="1" applyAlignment="1" applyProtection="1">
      <alignment horizontal="center"/>
      <protection locked="0"/>
    </xf>
    <xf numFmtId="3" fontId="0" fillId="35" borderId="64" xfId="0" applyNumberFormat="1" applyFill="1" applyBorder="1" applyAlignment="1" applyProtection="1">
      <alignment horizontal="center"/>
      <protection locked="0"/>
    </xf>
    <xf numFmtId="4" fontId="0" fillId="0" borderId="74" xfId="0" applyNumberFormat="1" applyBorder="1" applyAlignment="1" applyProtection="1">
      <alignment horizontal="center"/>
      <protection/>
    </xf>
    <xf numFmtId="3" fontId="0" fillId="35" borderId="106" xfId="0" applyNumberFormat="1" applyFill="1" applyBorder="1" applyAlignment="1" applyProtection="1">
      <alignment horizontal="center"/>
      <protection locked="0"/>
    </xf>
    <xf numFmtId="3" fontId="0" fillId="35" borderId="73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3" fontId="0" fillId="35" borderId="102" xfId="0" applyNumberFormat="1" applyFill="1" applyBorder="1" applyAlignment="1" applyProtection="1">
      <alignment horizontal="center"/>
      <protection locked="0"/>
    </xf>
    <xf numFmtId="3" fontId="1" fillId="32" borderId="11" xfId="0" applyNumberFormat="1" applyFont="1" applyFill="1" applyBorder="1" applyAlignment="1" applyProtection="1">
      <alignment horizontal="center"/>
      <protection locked="0"/>
    </xf>
    <xf numFmtId="0" fontId="0" fillId="34" borderId="10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104" xfId="0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34" borderId="11" xfId="0" applyFill="1" applyBorder="1" applyAlignment="1" applyProtection="1">
      <alignment horizontal="center"/>
      <protection/>
    </xf>
    <xf numFmtId="0" fontId="0" fillId="34" borderId="65" xfId="0" applyFill="1" applyBorder="1" applyAlignment="1" applyProtection="1">
      <alignment horizontal="center"/>
      <protection/>
    </xf>
    <xf numFmtId="0" fontId="0" fillId="35" borderId="65" xfId="0" applyFill="1" applyBorder="1" applyAlignment="1" applyProtection="1">
      <alignment horizontal="center"/>
      <protection locked="0"/>
    </xf>
    <xf numFmtId="0" fontId="0" fillId="34" borderId="86" xfId="0" applyFill="1" applyBorder="1" applyAlignment="1" applyProtection="1">
      <alignment horizontal="center"/>
      <protection/>
    </xf>
    <xf numFmtId="4" fontId="0" fillId="35" borderId="53" xfId="0" applyNumberFormat="1" applyFill="1" applyBorder="1" applyAlignment="1" applyProtection="1">
      <alignment horizontal="center"/>
      <protection locked="0"/>
    </xf>
    <xf numFmtId="4" fontId="0" fillId="35" borderId="55" xfId="0" applyNumberFormat="1" applyFill="1" applyBorder="1" applyAlignment="1" applyProtection="1">
      <alignment horizontal="center"/>
      <protection/>
    </xf>
    <xf numFmtId="4" fontId="0" fillId="35" borderId="55" xfId="0" applyNumberFormat="1" applyFill="1" applyBorder="1" applyAlignment="1" applyProtection="1">
      <alignment horizontal="center"/>
      <protection locked="0"/>
    </xf>
    <xf numFmtId="4" fontId="0" fillId="35" borderId="59" xfId="0" applyNumberFormat="1" applyFill="1" applyBorder="1" applyAlignment="1" applyProtection="1">
      <alignment horizontal="center"/>
      <protection locked="0"/>
    </xf>
    <xf numFmtId="4" fontId="0" fillId="0" borderId="54" xfId="49" applyNumberFormat="1" applyFont="1" applyBorder="1" applyAlignment="1">
      <alignment horizontal="center"/>
      <protection/>
    </xf>
    <xf numFmtId="4" fontId="0" fillId="0" borderId="56" xfId="49" applyNumberFormat="1" applyFont="1" applyBorder="1" applyAlignment="1">
      <alignment horizontal="center"/>
      <protection/>
    </xf>
    <xf numFmtId="3" fontId="0" fillId="35" borderId="86" xfId="0" applyNumberFormat="1" applyFill="1" applyBorder="1" applyAlignment="1" applyProtection="1">
      <alignment horizontal="center"/>
      <protection locked="0"/>
    </xf>
    <xf numFmtId="4" fontId="0" fillId="35" borderId="55" xfId="0" applyNumberFormat="1" applyFill="1" applyBorder="1" applyAlignment="1">
      <alignment horizontal="center"/>
    </xf>
    <xf numFmtId="0" fontId="12" fillId="34" borderId="30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center"/>
    </xf>
    <xf numFmtId="0" fontId="12" fillId="34" borderId="24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4" borderId="114" xfId="0" applyFont="1" applyFill="1" applyBorder="1" applyAlignment="1">
      <alignment horizontal="center" vertical="top"/>
    </xf>
    <xf numFmtId="0" fontId="12" fillId="34" borderId="20" xfId="0" applyFont="1" applyFill="1" applyBorder="1" applyAlignment="1">
      <alignment horizontal="center" vertical="top"/>
    </xf>
    <xf numFmtId="0" fontId="12" fillId="34" borderId="21" xfId="0" applyFont="1" applyFill="1" applyBorder="1" applyAlignment="1">
      <alignment horizontal="center" vertical="top"/>
    </xf>
    <xf numFmtId="0" fontId="12" fillId="34" borderId="91" xfId="0" applyFont="1" applyFill="1" applyBorder="1" applyAlignment="1">
      <alignment horizontal="left" vertical="center"/>
    </xf>
    <xf numFmtId="0" fontId="12" fillId="34" borderId="38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left" vertical="center"/>
    </xf>
    <xf numFmtId="0" fontId="12" fillId="0" borderId="1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23" fillId="0" borderId="89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indent="1"/>
    </xf>
    <xf numFmtId="0" fontId="10" fillId="34" borderId="0" xfId="0" applyFont="1" applyFill="1" applyBorder="1" applyAlignment="1">
      <alignment horizontal="left" indent="1"/>
    </xf>
    <xf numFmtId="0" fontId="10" fillId="34" borderId="12" xfId="0" applyFont="1" applyFill="1" applyBorder="1" applyAlignment="1">
      <alignment horizontal="left" indent="1"/>
    </xf>
    <xf numFmtId="0" fontId="12" fillId="34" borderId="116" xfId="0" applyFont="1" applyFill="1" applyBorder="1" applyAlignment="1">
      <alignment horizontal="left" vertical="center"/>
    </xf>
    <xf numFmtId="0" fontId="12" fillId="34" borderId="99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4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116" xfId="0" applyFont="1" applyFill="1" applyBorder="1" applyAlignment="1">
      <alignment horizontal="center" vertical="center"/>
    </xf>
    <xf numFmtId="0" fontId="12" fillId="34" borderId="99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4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2" fillId="34" borderId="117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24" fillId="34" borderId="118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24" fillId="34" borderId="48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12" fillId="34" borderId="95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shrinkToFit="1"/>
    </xf>
    <xf numFmtId="0" fontId="18" fillId="34" borderId="92" xfId="0" applyFont="1" applyFill="1" applyBorder="1" applyAlignment="1">
      <alignment horizontal="center" vertical="center" shrinkToFit="1"/>
    </xf>
    <xf numFmtId="0" fontId="18" fillId="34" borderId="17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 vertical="center"/>
    </xf>
    <xf numFmtId="0" fontId="12" fillId="34" borderId="119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2" fillId="34" borderId="119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20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left" vertical="center" wrapText="1" indent="1"/>
    </xf>
    <xf numFmtId="0" fontId="10" fillId="34" borderId="10" xfId="0" applyFont="1" applyFill="1" applyBorder="1" applyAlignment="1">
      <alignment horizontal="left" vertical="center" wrapText="1" indent="1"/>
    </xf>
    <xf numFmtId="0" fontId="10" fillId="34" borderId="19" xfId="0" applyFont="1" applyFill="1" applyBorder="1" applyAlignment="1">
      <alignment horizontal="left" vertical="center" wrapText="1" indent="1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0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24" xfId="0" applyFont="1" applyFill="1" applyBorder="1" applyAlignment="1">
      <alignment horizontal="left" vertical="center" wrapText="1" indent="1"/>
    </xf>
    <xf numFmtId="0" fontId="10" fillId="34" borderId="23" xfId="0" applyFont="1" applyFill="1" applyBorder="1" applyAlignment="1">
      <alignment horizontal="left" vertical="center" wrapText="1" indent="1"/>
    </xf>
    <xf numFmtId="0" fontId="10" fillId="34" borderId="42" xfId="0" applyFont="1" applyFill="1" applyBorder="1" applyAlignment="1">
      <alignment horizontal="left" vertical="center" wrapText="1" inden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24" fillId="34" borderId="121" xfId="0" applyFont="1" applyFill="1" applyBorder="1" applyAlignment="1">
      <alignment horizontal="center"/>
    </xf>
    <xf numFmtId="0" fontId="24" fillId="34" borderId="51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12" fillId="34" borderId="33" xfId="0" applyFont="1" applyFill="1" applyBorder="1" applyAlignment="1">
      <alignment horizontal="left" vertical="center"/>
    </xf>
    <xf numFmtId="0" fontId="12" fillId="34" borderId="25" xfId="0" applyFont="1" applyFill="1" applyBorder="1" applyAlignment="1">
      <alignment horizontal="left" vertical="center"/>
    </xf>
    <xf numFmtId="4" fontId="5" fillId="33" borderId="10" xfId="56" applyNumberFormat="1" applyFont="1" applyFill="1" applyBorder="1" applyAlignment="1" applyProtection="1">
      <alignment horizontal="center" vertical="center" wrapText="1"/>
      <protection/>
    </xf>
    <xf numFmtId="4" fontId="5" fillId="33" borderId="19" xfId="5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4" fontId="1" fillId="33" borderId="10" xfId="56" applyNumberFormat="1" applyFont="1" applyFill="1" applyBorder="1" applyAlignment="1">
      <alignment horizontal="center" wrapText="1"/>
    </xf>
    <xf numFmtId="4" fontId="5" fillId="33" borderId="10" xfId="56" applyNumberFormat="1" applyFont="1" applyFill="1" applyBorder="1" applyAlignment="1">
      <alignment horizontal="center" vertical="center" wrapText="1"/>
    </xf>
    <xf numFmtId="4" fontId="5" fillId="33" borderId="19" xfId="56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22" xfId="0" applyNumberFormat="1" applyBorder="1" applyAlignment="1">
      <alignment horizontal="center" vertical="center" wrapText="1"/>
    </xf>
    <xf numFmtId="2" fontId="0" fillId="0" borderId="67" xfId="0" applyNumberFormat="1" applyBorder="1" applyAlignment="1">
      <alignment horizontal="center" vertical="center" wrapText="1"/>
    </xf>
    <xf numFmtId="4" fontId="0" fillId="0" borderId="55" xfId="0" applyNumberForma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 wrapText="1"/>
    </xf>
    <xf numFmtId="3" fontId="0" fillId="35" borderId="102" xfId="0" applyNumberFormat="1" applyFill="1" applyBorder="1" applyAlignment="1" applyProtection="1">
      <alignment horizontal="center" vertical="center" wrapText="1"/>
      <protection locked="0"/>
    </xf>
    <xf numFmtId="3" fontId="0" fillId="35" borderId="53" xfId="0" applyNumberFormat="1" applyFill="1" applyBorder="1" applyAlignment="1" applyProtection="1">
      <alignment horizontal="center" vertical="center" wrapText="1"/>
      <protection locked="0"/>
    </xf>
    <xf numFmtId="3" fontId="0" fillId="35" borderId="123" xfId="0" applyNumberFormat="1" applyFill="1" applyBorder="1" applyAlignment="1" applyProtection="1">
      <alignment horizontal="center" vertical="center" wrapText="1"/>
      <protection locked="0"/>
    </xf>
    <xf numFmtId="3" fontId="0" fillId="35" borderId="58" xfId="0" applyNumberFormat="1" applyFill="1" applyBorder="1" applyAlignment="1" applyProtection="1">
      <alignment horizontal="center" vertical="center" wrapText="1"/>
      <protection locked="0"/>
    </xf>
    <xf numFmtId="4" fontId="5" fillId="33" borderId="10" xfId="56" applyNumberFormat="1" applyFont="1" applyFill="1" applyBorder="1" applyAlignment="1">
      <alignment horizontal="center"/>
    </xf>
    <xf numFmtId="4" fontId="5" fillId="33" borderId="19" xfId="56" applyNumberFormat="1" applyFont="1" applyFill="1" applyBorder="1" applyAlignment="1">
      <alignment horizontal="center"/>
    </xf>
    <xf numFmtId="3" fontId="0" fillId="35" borderId="118" xfId="0" applyNumberFormat="1" applyFill="1" applyBorder="1" applyAlignment="1" applyProtection="1">
      <alignment horizontal="center" vertical="center" wrapText="1"/>
      <protection locked="0"/>
    </xf>
    <xf numFmtId="3" fontId="0" fillId="35" borderId="25" xfId="0" applyNumberFormat="1" applyFill="1" applyBorder="1" applyAlignment="1" applyProtection="1">
      <alignment horizontal="center" vertical="center" wrapText="1"/>
      <protection locked="0"/>
    </xf>
    <xf numFmtId="4" fontId="0" fillId="0" borderId="76" xfId="0" applyNumberForma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PLIK  REF.MALIYET PORTALI (2004 version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8">
    <dxf>
      <font>
        <color indexed="9"/>
      </font>
      <fill>
        <patternFill>
          <bgColor indexed="28"/>
        </patternFill>
      </fill>
    </dxf>
    <dxf>
      <font>
        <color indexed="9"/>
      </font>
      <fill>
        <patternFill>
          <bgColor indexed="36"/>
        </patternFill>
      </fill>
    </dxf>
    <dxf>
      <font>
        <color indexed="53"/>
      </font>
    </dxf>
    <dxf>
      <font>
        <color indexed="53"/>
      </font>
    </dxf>
    <dxf>
      <font>
        <color indexed="9"/>
      </font>
      <fill>
        <patternFill>
          <bgColor indexed="28"/>
        </patternFill>
      </fill>
    </dxf>
    <dxf>
      <font>
        <color indexed="9"/>
      </font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ont>
        <color indexed="9"/>
      </font>
      <fill>
        <patternFill>
          <bgColor indexed="36"/>
        </patternFill>
      </fill>
    </dxf>
    <dxf>
      <font>
        <color indexed="53"/>
      </font>
    </dxf>
    <dxf>
      <font>
        <color indexed="9"/>
      </font>
      <fill>
        <patternFill>
          <bgColor indexed="28"/>
        </patternFill>
      </fill>
    </dxf>
    <dxf>
      <font>
        <color indexed="9"/>
      </font>
      <fill>
        <patternFill>
          <bgColor indexed="36"/>
        </patternFill>
      </fill>
    </dxf>
    <dxf>
      <font>
        <color indexed="53"/>
      </font>
    </dxf>
    <dxf>
      <font>
        <color indexed="9"/>
      </font>
      <fill>
        <patternFill>
          <bgColor indexed="28"/>
        </patternFill>
      </fill>
    </dxf>
    <dxf>
      <font>
        <color indexed="9"/>
      </font>
      <fill>
        <patternFill>
          <bgColor indexed="36"/>
        </patternFill>
      </fill>
    </dxf>
    <dxf>
      <font>
        <color indexed="53"/>
      </font>
    </dxf>
    <dxf>
      <font>
        <color indexed="9"/>
      </font>
      <fill>
        <patternFill>
          <bgColor indexed="28"/>
        </patternFill>
      </fill>
    </dxf>
    <dxf>
      <font>
        <color indexed="9"/>
      </font>
      <fill>
        <patternFill>
          <bgColor indexed="36"/>
        </patternFill>
      </fill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="62" zoomScaleNormal="62" zoomScalePageLayoutView="0" workbookViewId="0" topLeftCell="A1">
      <selection activeCell="G19" sqref="G19:G21"/>
    </sheetView>
  </sheetViews>
  <sheetFormatPr defaultColWidth="9.140625" defaultRowHeight="12.75"/>
  <cols>
    <col min="1" max="1" width="11.7109375" style="0" customWidth="1"/>
    <col min="2" max="2" width="3.8515625" style="0" customWidth="1"/>
    <col min="3" max="3" width="14.8515625" style="0" customWidth="1"/>
    <col min="4" max="4" width="3.421875" style="0" customWidth="1"/>
    <col min="6" max="6" width="10.8515625" style="0" customWidth="1"/>
    <col min="7" max="7" width="16.00390625" style="0" customWidth="1"/>
    <col min="8" max="8" width="7.00390625" style="0" customWidth="1"/>
    <col min="10" max="10" width="11.8515625" style="0" customWidth="1"/>
    <col min="11" max="11" width="6.28125" style="0" customWidth="1"/>
    <col min="13" max="13" width="10.28125" style="0" customWidth="1"/>
    <col min="17" max="17" width="5.140625" style="0" customWidth="1"/>
    <col min="19" max="19" width="9.8515625" style="0" customWidth="1"/>
    <col min="20" max="26" width="9.140625" style="34" customWidth="1"/>
  </cols>
  <sheetData>
    <row r="1" spans="1:19" ht="30" customHeight="1" thickBot="1">
      <c r="A1" s="568" t="s">
        <v>243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188" t="s">
        <v>207</v>
      </c>
    </row>
    <row r="2" spans="1:19" ht="12.75">
      <c r="A2" s="652" t="s">
        <v>126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4"/>
    </row>
    <row r="3" spans="1:19" ht="12.75">
      <c r="A3" s="655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7"/>
    </row>
    <row r="4" spans="1:19" ht="13.5" thickBot="1">
      <c r="A4" s="658"/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60"/>
    </row>
    <row r="5" spans="1:19" ht="12.75">
      <c r="A5" s="661" t="s">
        <v>238</v>
      </c>
      <c r="B5" s="662"/>
      <c r="C5" s="662"/>
      <c r="D5" s="662"/>
      <c r="E5" s="662"/>
      <c r="F5" s="662"/>
      <c r="G5" s="662"/>
      <c r="H5" s="662"/>
      <c r="I5" s="661" t="s">
        <v>128</v>
      </c>
      <c r="J5" s="662"/>
      <c r="K5" s="662"/>
      <c r="L5" s="662"/>
      <c r="M5" s="665"/>
      <c r="N5" s="661" t="s">
        <v>127</v>
      </c>
      <c r="O5" s="662"/>
      <c r="P5" s="662"/>
      <c r="Q5" s="662"/>
      <c r="R5" s="662"/>
      <c r="S5" s="665"/>
    </row>
    <row r="6" spans="1:19" ht="45.75" customHeight="1" thickBot="1">
      <c r="A6" s="663"/>
      <c r="B6" s="664"/>
      <c r="C6" s="664"/>
      <c r="D6" s="664"/>
      <c r="E6" s="664"/>
      <c r="F6" s="664"/>
      <c r="G6" s="664"/>
      <c r="H6" s="664"/>
      <c r="I6" s="666"/>
      <c r="J6" s="667"/>
      <c r="K6" s="667"/>
      <c r="L6" s="667"/>
      <c r="M6" s="668"/>
      <c r="N6" s="663"/>
      <c r="O6" s="664"/>
      <c r="P6" s="664"/>
      <c r="Q6" s="664"/>
      <c r="R6" s="664"/>
      <c r="S6" s="669"/>
    </row>
    <row r="7" spans="1:19" ht="16.5" thickBot="1">
      <c r="A7" s="626" t="s">
        <v>129</v>
      </c>
      <c r="B7" s="627"/>
      <c r="C7" s="627"/>
      <c r="D7" s="627"/>
      <c r="E7" s="627"/>
      <c r="F7" s="627"/>
      <c r="G7" s="627"/>
      <c r="H7" s="671"/>
      <c r="I7" s="646" t="s">
        <v>105</v>
      </c>
      <c r="J7" s="647"/>
      <c r="K7" s="676"/>
      <c r="L7" s="642" t="s">
        <v>131</v>
      </c>
      <c r="M7" s="643"/>
      <c r="N7" s="646" t="s">
        <v>105</v>
      </c>
      <c r="O7" s="647"/>
      <c r="P7" s="647"/>
      <c r="Q7" s="648"/>
      <c r="R7" s="670" t="s">
        <v>131</v>
      </c>
      <c r="S7" s="643"/>
    </row>
    <row r="8" spans="1:19" ht="16.5" thickBot="1">
      <c r="A8" s="672"/>
      <c r="B8" s="673"/>
      <c r="C8" s="673"/>
      <c r="D8" s="673"/>
      <c r="E8" s="673"/>
      <c r="F8" s="673"/>
      <c r="G8" s="673"/>
      <c r="H8" s="674"/>
      <c r="I8" s="649"/>
      <c r="J8" s="650"/>
      <c r="K8" s="677"/>
      <c r="L8" s="97" t="s">
        <v>132</v>
      </c>
      <c r="M8" s="96" t="s">
        <v>133</v>
      </c>
      <c r="N8" s="649"/>
      <c r="O8" s="650"/>
      <c r="P8" s="650"/>
      <c r="Q8" s="651"/>
      <c r="R8" s="393" t="s">
        <v>132</v>
      </c>
      <c r="S8" s="96" t="s">
        <v>133</v>
      </c>
    </row>
    <row r="9" spans="1:19" ht="16.5" thickBot="1">
      <c r="A9" s="628"/>
      <c r="B9" s="629"/>
      <c r="C9" s="629"/>
      <c r="D9" s="629"/>
      <c r="E9" s="629"/>
      <c r="F9" s="629"/>
      <c r="G9" s="629"/>
      <c r="H9" s="675"/>
      <c r="I9" s="680" t="s">
        <v>141</v>
      </c>
      <c r="J9" s="683"/>
      <c r="K9" s="99"/>
      <c r="L9" s="100"/>
      <c r="M9" s="101"/>
      <c r="N9" s="680" t="s">
        <v>146</v>
      </c>
      <c r="O9" s="681"/>
      <c r="P9" s="117"/>
      <c r="Q9" s="398"/>
      <c r="R9" s="394"/>
      <c r="S9" s="102"/>
    </row>
    <row r="10" spans="1:19" ht="21" thickBot="1">
      <c r="A10" s="636" t="s">
        <v>130</v>
      </c>
      <c r="B10" s="637"/>
      <c r="C10" s="637"/>
      <c r="D10" s="638"/>
      <c r="E10" s="642" t="s">
        <v>131</v>
      </c>
      <c r="F10" s="643"/>
      <c r="G10" s="644" t="s">
        <v>140</v>
      </c>
      <c r="H10" s="644"/>
      <c r="I10" s="562" t="s">
        <v>142</v>
      </c>
      <c r="J10" s="563"/>
      <c r="K10" s="104"/>
      <c r="L10" s="98"/>
      <c r="M10" s="105"/>
      <c r="N10" s="562" t="s">
        <v>148</v>
      </c>
      <c r="O10" s="682"/>
      <c r="P10" s="108"/>
      <c r="Q10" s="389"/>
      <c r="R10" s="395"/>
      <c r="S10" s="109"/>
    </row>
    <row r="11" spans="1:19" ht="21" thickBot="1">
      <c r="A11" s="639"/>
      <c r="B11" s="640"/>
      <c r="C11" s="640"/>
      <c r="D11" s="641"/>
      <c r="E11" s="97" t="s">
        <v>132</v>
      </c>
      <c r="F11" s="96" t="s">
        <v>133</v>
      </c>
      <c r="G11" s="645"/>
      <c r="H11" s="645"/>
      <c r="I11" s="562" t="s">
        <v>143</v>
      </c>
      <c r="J11" s="563"/>
      <c r="K11" s="110"/>
      <c r="L11" s="103"/>
      <c r="M11" s="111"/>
      <c r="N11" s="562" t="s">
        <v>3</v>
      </c>
      <c r="O11" s="682"/>
      <c r="P11" s="108"/>
      <c r="Q11" s="399"/>
      <c r="R11" s="396"/>
      <c r="S11" s="112"/>
    </row>
    <row r="12" spans="1:19" ht="20.25">
      <c r="A12" s="113" t="s">
        <v>106</v>
      </c>
      <c r="B12" s="385"/>
      <c r="C12" s="113" t="s">
        <v>107</v>
      </c>
      <c r="D12" s="114"/>
      <c r="E12" s="115"/>
      <c r="F12" s="116"/>
      <c r="G12" s="117" t="s">
        <v>139</v>
      </c>
      <c r="H12" s="118"/>
      <c r="I12" s="562" t="s">
        <v>108</v>
      </c>
      <c r="J12" s="563"/>
      <c r="K12" s="110"/>
      <c r="L12" s="103"/>
      <c r="M12" s="111"/>
      <c r="N12" s="562" t="s">
        <v>145</v>
      </c>
      <c r="O12" s="682"/>
      <c r="P12" s="108"/>
      <c r="Q12" s="389"/>
      <c r="R12" s="396"/>
      <c r="S12" s="112"/>
    </row>
    <row r="13" spans="1:19" ht="20.25">
      <c r="A13" s="119" t="s">
        <v>109</v>
      </c>
      <c r="B13" s="386"/>
      <c r="C13" s="120" t="s">
        <v>2</v>
      </c>
      <c r="D13" s="121"/>
      <c r="E13" s="122"/>
      <c r="F13" s="105"/>
      <c r="G13" s="108" t="s">
        <v>110</v>
      </c>
      <c r="H13" s="118"/>
      <c r="I13" s="562" t="s">
        <v>144</v>
      </c>
      <c r="J13" s="563"/>
      <c r="K13" s="110"/>
      <c r="L13" s="103"/>
      <c r="M13" s="111"/>
      <c r="N13" s="192" t="s">
        <v>149</v>
      </c>
      <c r="O13" s="191"/>
      <c r="P13" s="117"/>
      <c r="Q13" s="400"/>
      <c r="R13" s="396"/>
      <c r="S13" s="112"/>
    </row>
    <row r="14" spans="1:19" ht="20.25">
      <c r="A14" s="119" t="s">
        <v>111</v>
      </c>
      <c r="B14" s="386"/>
      <c r="C14" s="123" t="s">
        <v>3</v>
      </c>
      <c r="D14" s="124"/>
      <c r="E14" s="125"/>
      <c r="F14" s="111"/>
      <c r="G14" s="108" t="s">
        <v>112</v>
      </c>
      <c r="H14" s="126"/>
      <c r="I14" s="562" t="s">
        <v>2</v>
      </c>
      <c r="J14" s="563"/>
      <c r="K14" s="110"/>
      <c r="L14" s="103"/>
      <c r="M14" s="111"/>
      <c r="N14" s="106" t="s">
        <v>150</v>
      </c>
      <c r="O14" s="107"/>
      <c r="P14" s="108"/>
      <c r="Q14" s="400"/>
      <c r="R14" s="396"/>
      <c r="S14" s="112"/>
    </row>
    <row r="15" spans="1:19" ht="20.25">
      <c r="A15" s="119" t="s">
        <v>113</v>
      </c>
      <c r="B15" s="386"/>
      <c r="C15" s="127" t="s">
        <v>137</v>
      </c>
      <c r="D15" s="128"/>
      <c r="E15" s="120"/>
      <c r="F15" s="105"/>
      <c r="G15" s="107" t="s">
        <v>114</v>
      </c>
      <c r="H15" s="118"/>
      <c r="I15" s="562" t="s">
        <v>3</v>
      </c>
      <c r="J15" s="563"/>
      <c r="K15" s="110"/>
      <c r="L15" s="103"/>
      <c r="M15" s="111"/>
      <c r="N15" s="106" t="s">
        <v>9</v>
      </c>
      <c r="O15" s="107"/>
      <c r="P15" s="108"/>
      <c r="Q15" s="400"/>
      <c r="R15" s="396"/>
      <c r="S15" s="112"/>
    </row>
    <row r="16" spans="1:19" ht="20.25">
      <c r="A16" s="634" t="s">
        <v>135</v>
      </c>
      <c r="B16" s="387"/>
      <c r="C16" s="120" t="s">
        <v>138</v>
      </c>
      <c r="D16" s="111"/>
      <c r="E16" s="129"/>
      <c r="F16" s="111"/>
      <c r="G16" s="108" t="s">
        <v>115</v>
      </c>
      <c r="H16" s="126"/>
      <c r="I16" s="562" t="s">
        <v>145</v>
      </c>
      <c r="J16" s="563"/>
      <c r="K16" s="110"/>
      <c r="L16" s="103"/>
      <c r="M16" s="111"/>
      <c r="N16" s="106" t="s">
        <v>151</v>
      </c>
      <c r="O16" s="107"/>
      <c r="P16" s="108"/>
      <c r="Q16" s="400"/>
      <c r="R16" s="396"/>
      <c r="S16" s="112"/>
    </row>
    <row r="17" spans="1:19" ht="22.5" customHeight="1">
      <c r="A17" s="635"/>
      <c r="B17" s="388"/>
      <c r="C17" s="383" t="s">
        <v>236</v>
      </c>
      <c r="D17" s="111"/>
      <c r="E17" s="384"/>
      <c r="F17" s="111"/>
      <c r="G17" s="108" t="s">
        <v>116</v>
      </c>
      <c r="H17" s="130"/>
      <c r="I17" s="562" t="s">
        <v>10</v>
      </c>
      <c r="J17" s="563"/>
      <c r="K17" s="110"/>
      <c r="L17" s="103"/>
      <c r="M17" s="111"/>
      <c r="N17" s="106" t="s">
        <v>152</v>
      </c>
      <c r="O17" s="107"/>
      <c r="P17" s="108"/>
      <c r="Q17" s="400"/>
      <c r="R17" s="396"/>
      <c r="S17" s="112"/>
    </row>
    <row r="18" spans="1:19" ht="20.25">
      <c r="A18" s="564" t="s">
        <v>134</v>
      </c>
      <c r="B18" s="566"/>
      <c r="C18" s="382" t="s">
        <v>237</v>
      </c>
      <c r="D18" s="111"/>
      <c r="E18" s="384"/>
      <c r="F18" s="111"/>
      <c r="G18" s="257" t="s">
        <v>117</v>
      </c>
      <c r="H18" s="128"/>
      <c r="I18" s="562" t="s">
        <v>146</v>
      </c>
      <c r="J18" s="563"/>
      <c r="K18" s="110"/>
      <c r="L18" s="103"/>
      <c r="M18" s="111"/>
      <c r="N18" s="549" t="s">
        <v>10</v>
      </c>
      <c r="O18" s="550"/>
      <c r="P18" s="551"/>
      <c r="Q18" s="400"/>
      <c r="R18" s="396"/>
      <c r="S18" s="112"/>
    </row>
    <row r="19" spans="1:19" ht="20.25">
      <c r="A19" s="565"/>
      <c r="B19" s="567"/>
      <c r="C19" s="383" t="s">
        <v>223</v>
      </c>
      <c r="D19" s="111"/>
      <c r="E19" s="384"/>
      <c r="F19" s="111"/>
      <c r="G19" s="558" t="s">
        <v>136</v>
      </c>
      <c r="H19" s="258"/>
      <c r="I19" s="562" t="s">
        <v>236</v>
      </c>
      <c r="J19" s="563"/>
      <c r="K19" s="110"/>
      <c r="L19" s="103"/>
      <c r="M19" s="111"/>
      <c r="N19" s="549" t="s">
        <v>236</v>
      </c>
      <c r="O19" s="550"/>
      <c r="P19" s="551"/>
      <c r="Q19" s="400"/>
      <c r="R19" s="396"/>
      <c r="S19" s="392"/>
    </row>
    <row r="20" spans="1:19" ht="20.25">
      <c r="A20" s="565"/>
      <c r="B20" s="567"/>
      <c r="C20" s="382" t="s">
        <v>134</v>
      </c>
      <c r="D20" s="259"/>
      <c r="E20" s="261"/>
      <c r="F20" s="259"/>
      <c r="G20" s="559"/>
      <c r="H20" s="259"/>
      <c r="I20" s="549" t="s">
        <v>223</v>
      </c>
      <c r="J20" s="551"/>
      <c r="K20" s="110"/>
      <c r="L20" s="103"/>
      <c r="M20" s="111"/>
      <c r="N20" s="106" t="s">
        <v>223</v>
      </c>
      <c r="O20" s="107"/>
      <c r="P20" s="108"/>
      <c r="Q20" s="400"/>
      <c r="R20" s="396"/>
      <c r="S20" s="392"/>
    </row>
    <row r="21" spans="1:19" ht="21" thickBot="1">
      <c r="A21" s="565"/>
      <c r="B21" s="567"/>
      <c r="C21" s="382"/>
      <c r="D21" s="259"/>
      <c r="E21" s="262"/>
      <c r="F21" s="260"/>
      <c r="G21" s="560"/>
      <c r="H21" s="260"/>
      <c r="I21" s="562" t="s">
        <v>237</v>
      </c>
      <c r="J21" s="563"/>
      <c r="K21" s="110"/>
      <c r="L21" s="103"/>
      <c r="M21" s="111"/>
      <c r="N21" s="549" t="s">
        <v>237</v>
      </c>
      <c r="O21" s="550"/>
      <c r="P21" s="551"/>
      <c r="Q21" s="400"/>
      <c r="R21" s="396"/>
      <c r="S21" s="392"/>
    </row>
    <row r="22" spans="1:19" ht="21" thickBot="1">
      <c r="A22" s="555"/>
      <c r="B22" s="556"/>
      <c r="C22" s="556"/>
      <c r="D22" s="556"/>
      <c r="E22" s="556"/>
      <c r="F22" s="556"/>
      <c r="G22" s="556"/>
      <c r="H22" s="557"/>
      <c r="I22" s="554" t="s">
        <v>136</v>
      </c>
      <c r="J22" s="561"/>
      <c r="K22" s="391"/>
      <c r="L22" s="390"/>
      <c r="M22" s="260"/>
      <c r="N22" s="552" t="s">
        <v>136</v>
      </c>
      <c r="O22" s="553"/>
      <c r="P22" s="554"/>
      <c r="Q22" s="401"/>
      <c r="R22" s="397"/>
      <c r="S22" s="131"/>
    </row>
    <row r="23" spans="1:19" ht="30" customHeight="1" thickBot="1">
      <c r="A23" s="620" t="s">
        <v>153</v>
      </c>
      <c r="B23" s="621"/>
      <c r="C23" s="621"/>
      <c r="D23" s="621"/>
      <c r="E23" s="621"/>
      <c r="F23" s="621"/>
      <c r="G23" s="622"/>
      <c r="H23" s="622"/>
      <c r="I23" s="622"/>
      <c r="J23" s="623" t="s">
        <v>154</v>
      </c>
      <c r="K23" s="624"/>
      <c r="L23" s="624"/>
      <c r="M23" s="625"/>
      <c r="N23" s="623" t="s">
        <v>155</v>
      </c>
      <c r="O23" s="624"/>
      <c r="P23" s="624"/>
      <c r="Q23" s="624"/>
      <c r="R23" s="624"/>
      <c r="S23" s="625"/>
    </row>
    <row r="24" spans="1:19" ht="16.5" thickBot="1">
      <c r="A24" s="626" t="s">
        <v>172</v>
      </c>
      <c r="B24" s="627"/>
      <c r="C24" s="627"/>
      <c r="D24" s="627"/>
      <c r="E24" s="627"/>
      <c r="F24" s="627"/>
      <c r="G24" s="627"/>
      <c r="H24" s="627"/>
      <c r="I24" s="627"/>
      <c r="J24" s="630" t="s">
        <v>180</v>
      </c>
      <c r="K24" s="631"/>
      <c r="L24" s="90" t="s">
        <v>181</v>
      </c>
      <c r="M24" s="93" t="s">
        <v>182</v>
      </c>
      <c r="N24" s="132" t="s">
        <v>192</v>
      </c>
      <c r="O24" s="89"/>
      <c r="P24" s="89"/>
      <c r="Q24" s="89"/>
      <c r="R24" s="602"/>
      <c r="S24" s="603"/>
    </row>
    <row r="25" spans="1:19" ht="16.5" thickBot="1">
      <c r="A25" s="628"/>
      <c r="B25" s="629"/>
      <c r="C25" s="629"/>
      <c r="D25" s="629"/>
      <c r="E25" s="629"/>
      <c r="F25" s="629"/>
      <c r="G25" s="629"/>
      <c r="H25" s="629"/>
      <c r="I25" s="629"/>
      <c r="J25" s="632" t="s">
        <v>104</v>
      </c>
      <c r="K25" s="633"/>
      <c r="L25" s="133"/>
      <c r="M25" s="134"/>
      <c r="N25" s="132" t="s">
        <v>191</v>
      </c>
      <c r="O25" s="89"/>
      <c r="P25" s="89"/>
      <c r="Q25" s="89"/>
      <c r="R25" s="602"/>
      <c r="S25" s="603"/>
    </row>
    <row r="26" spans="1:19" ht="16.5" thickBot="1">
      <c r="A26" s="606" t="s">
        <v>156</v>
      </c>
      <c r="B26" s="607"/>
      <c r="C26" s="607"/>
      <c r="D26" s="608"/>
      <c r="E26" s="612" t="s">
        <v>157</v>
      </c>
      <c r="F26" s="613"/>
      <c r="G26" s="612" t="s">
        <v>158</v>
      </c>
      <c r="H26" s="616"/>
      <c r="I26" s="617"/>
      <c r="J26" s="618" t="s">
        <v>103</v>
      </c>
      <c r="K26" s="619"/>
      <c r="L26" s="135"/>
      <c r="M26" s="136"/>
      <c r="N26" s="132" t="s">
        <v>190</v>
      </c>
      <c r="O26" s="89"/>
      <c r="P26" s="89"/>
      <c r="Q26" s="89"/>
      <c r="R26" s="602"/>
      <c r="S26" s="603"/>
    </row>
    <row r="27" spans="1:19" ht="16.5" thickBot="1">
      <c r="A27" s="609"/>
      <c r="B27" s="610"/>
      <c r="C27" s="610"/>
      <c r="D27" s="611"/>
      <c r="E27" s="614"/>
      <c r="F27" s="615"/>
      <c r="G27" s="137" t="s">
        <v>173</v>
      </c>
      <c r="H27" s="137" t="s">
        <v>169</v>
      </c>
      <c r="I27" s="138" t="s">
        <v>174</v>
      </c>
      <c r="J27" s="580" t="s">
        <v>183</v>
      </c>
      <c r="K27" s="581"/>
      <c r="L27" s="139"/>
      <c r="M27" s="140"/>
      <c r="N27" s="132" t="s">
        <v>193</v>
      </c>
      <c r="O27" s="89"/>
      <c r="P27" s="89"/>
      <c r="Q27" s="89"/>
      <c r="R27" s="602"/>
      <c r="S27" s="603"/>
    </row>
    <row r="28" spans="1:19" ht="21" thickBot="1">
      <c r="A28" s="604" t="s">
        <v>159</v>
      </c>
      <c r="B28" s="605"/>
      <c r="C28" s="605"/>
      <c r="D28" s="141"/>
      <c r="E28" s="142" t="s">
        <v>166</v>
      </c>
      <c r="F28" s="143"/>
      <c r="G28" s="133" t="s">
        <v>175</v>
      </c>
      <c r="H28" s="144"/>
      <c r="I28" s="145"/>
      <c r="J28" s="580" t="s">
        <v>184</v>
      </c>
      <c r="K28" s="581"/>
      <c r="L28" s="139"/>
      <c r="M28" s="140"/>
      <c r="N28" s="132" t="s">
        <v>194</v>
      </c>
      <c r="O28" s="89"/>
      <c r="P28" s="89"/>
      <c r="Q28" s="89"/>
      <c r="R28" s="602"/>
      <c r="S28" s="603"/>
    </row>
    <row r="29" spans="1:19" ht="21" thickBot="1">
      <c r="A29" s="580" t="s">
        <v>160</v>
      </c>
      <c r="B29" s="581"/>
      <c r="C29" s="581"/>
      <c r="D29" s="112"/>
      <c r="E29" s="146" t="s">
        <v>168</v>
      </c>
      <c r="F29" s="147"/>
      <c r="G29" s="135" t="s">
        <v>176</v>
      </c>
      <c r="H29" s="144"/>
      <c r="I29" s="145"/>
      <c r="J29" s="600" t="s">
        <v>185</v>
      </c>
      <c r="K29" s="601"/>
      <c r="L29" s="187" t="s">
        <v>187</v>
      </c>
      <c r="M29" s="187" t="s">
        <v>187</v>
      </c>
      <c r="N29" s="132" t="s">
        <v>195</v>
      </c>
      <c r="O29" s="89"/>
      <c r="P29" s="89"/>
      <c r="Q29" s="89"/>
      <c r="R29" s="602"/>
      <c r="S29" s="603"/>
    </row>
    <row r="30" spans="1:19" ht="21" thickBot="1">
      <c r="A30" s="580" t="s">
        <v>161</v>
      </c>
      <c r="B30" s="581"/>
      <c r="C30" s="581"/>
      <c r="D30" s="112"/>
      <c r="E30" s="146" t="s">
        <v>167</v>
      </c>
      <c r="F30" s="147"/>
      <c r="G30" s="135" t="s">
        <v>177</v>
      </c>
      <c r="H30" s="144"/>
      <c r="I30" s="145"/>
      <c r="J30" s="577" t="s">
        <v>186</v>
      </c>
      <c r="K30" s="578"/>
      <c r="L30" s="187" t="s">
        <v>187</v>
      </c>
      <c r="M30" s="187" t="s">
        <v>187</v>
      </c>
      <c r="N30" s="132" t="s">
        <v>196</v>
      </c>
      <c r="O30" s="89"/>
      <c r="P30" s="89"/>
      <c r="Q30" s="89"/>
      <c r="R30" s="602"/>
      <c r="S30" s="603"/>
    </row>
    <row r="31" spans="1:19" ht="21" thickBot="1">
      <c r="A31" s="580" t="s">
        <v>162</v>
      </c>
      <c r="B31" s="581"/>
      <c r="C31" s="581"/>
      <c r="D31" s="112"/>
      <c r="E31" s="146" t="s">
        <v>169</v>
      </c>
      <c r="F31" s="147"/>
      <c r="G31" s="593" t="s">
        <v>178</v>
      </c>
      <c r="H31" s="595"/>
      <c r="I31" s="597"/>
      <c r="J31" s="589" t="s">
        <v>188</v>
      </c>
      <c r="K31" s="590"/>
      <c r="L31" s="148" t="s">
        <v>132</v>
      </c>
      <c r="M31" s="93" t="s">
        <v>133</v>
      </c>
      <c r="N31" s="149" t="s">
        <v>197</v>
      </c>
      <c r="O31" s="150"/>
      <c r="P31" s="150"/>
      <c r="Q31" s="150"/>
      <c r="R31" s="575"/>
      <c r="S31" s="576"/>
    </row>
    <row r="32" spans="1:19" ht="20.25">
      <c r="A32" s="580" t="s">
        <v>163</v>
      </c>
      <c r="B32" s="581"/>
      <c r="C32" s="581"/>
      <c r="D32" s="112"/>
      <c r="E32" s="146" t="s">
        <v>125</v>
      </c>
      <c r="F32" s="147"/>
      <c r="G32" s="594"/>
      <c r="H32" s="596"/>
      <c r="I32" s="598"/>
      <c r="J32" s="178" t="s">
        <v>118</v>
      </c>
      <c r="K32" s="179"/>
      <c r="L32" s="185"/>
      <c r="M32" s="186"/>
      <c r="N32" s="149" t="s">
        <v>198</v>
      </c>
      <c r="O32" s="150"/>
      <c r="P32" s="150"/>
      <c r="Q32" s="150"/>
      <c r="R32" s="591"/>
      <c r="S32" s="592"/>
    </row>
    <row r="33" spans="1:19" ht="21" customHeight="1" thickBot="1">
      <c r="A33" s="580" t="s">
        <v>164</v>
      </c>
      <c r="B33" s="581"/>
      <c r="C33" s="581"/>
      <c r="D33" s="112"/>
      <c r="E33" s="146" t="s">
        <v>170</v>
      </c>
      <c r="F33" s="153"/>
      <c r="G33" s="593" t="s">
        <v>179</v>
      </c>
      <c r="H33" s="595"/>
      <c r="I33" s="597"/>
      <c r="J33" s="573" t="s">
        <v>136</v>
      </c>
      <c r="K33" s="574"/>
      <c r="L33" s="183"/>
      <c r="M33" s="184"/>
      <c r="N33" s="154"/>
      <c r="O33" s="151"/>
      <c r="P33" s="151"/>
      <c r="Q33" s="151"/>
      <c r="R33" s="575"/>
      <c r="S33" s="576"/>
    </row>
    <row r="34" spans="1:19" ht="21" thickBot="1">
      <c r="A34" s="582" t="s">
        <v>165</v>
      </c>
      <c r="B34" s="583"/>
      <c r="C34" s="583"/>
      <c r="D34" s="155"/>
      <c r="E34" s="152" t="s">
        <v>171</v>
      </c>
      <c r="F34" s="182"/>
      <c r="G34" s="599"/>
      <c r="H34" s="678"/>
      <c r="I34" s="679"/>
      <c r="J34" s="584" t="s">
        <v>189</v>
      </c>
      <c r="K34" s="585"/>
      <c r="L34" s="90" t="s">
        <v>181</v>
      </c>
      <c r="M34" s="93" t="s">
        <v>182</v>
      </c>
      <c r="N34" s="154"/>
      <c r="O34" s="151"/>
      <c r="P34" s="151"/>
      <c r="Q34" s="151"/>
      <c r="R34" s="180"/>
      <c r="S34" s="181"/>
    </row>
    <row r="35" spans="1:19" ht="21" thickBot="1">
      <c r="A35" s="586"/>
      <c r="B35" s="587"/>
      <c r="C35" s="587"/>
      <c r="D35" s="588"/>
      <c r="E35" s="189" t="s">
        <v>136</v>
      </c>
      <c r="F35" s="156"/>
      <c r="G35" s="555"/>
      <c r="H35" s="556"/>
      <c r="I35" s="557"/>
      <c r="J35" s="577" t="s">
        <v>119</v>
      </c>
      <c r="K35" s="578"/>
      <c r="L35" s="157"/>
      <c r="M35" s="94"/>
      <c r="N35" s="95"/>
      <c r="O35" s="94"/>
      <c r="P35" s="94"/>
      <c r="Q35" s="94"/>
      <c r="R35" s="579"/>
      <c r="S35" s="578"/>
    </row>
    <row r="36" spans="1:19" ht="15.75">
      <c r="A36" s="88"/>
      <c r="B36" s="87"/>
      <c r="C36" s="87"/>
      <c r="D36" s="87"/>
      <c r="E36" s="87"/>
      <c r="F36" s="87"/>
      <c r="G36" s="87"/>
      <c r="H36" s="404"/>
      <c r="I36" s="161"/>
      <c r="J36" s="158"/>
      <c r="K36" s="158"/>
      <c r="L36" s="158"/>
      <c r="M36" s="158"/>
      <c r="N36" s="158"/>
      <c r="O36" s="158"/>
      <c r="P36" s="158"/>
      <c r="Q36" s="158"/>
      <c r="R36" s="158"/>
      <c r="S36" s="159"/>
    </row>
    <row r="37" spans="1:19" ht="15">
      <c r="A37" s="160"/>
      <c r="B37" s="87"/>
      <c r="C37" s="87"/>
      <c r="D37" s="87"/>
      <c r="E37" s="87"/>
      <c r="F37" s="87"/>
      <c r="G37" s="87"/>
      <c r="H37" s="87"/>
      <c r="I37" s="161"/>
      <c r="J37" s="402"/>
      <c r="K37" s="87"/>
      <c r="L37" s="87"/>
      <c r="M37" s="87"/>
      <c r="N37" s="87"/>
      <c r="O37" s="87"/>
      <c r="P37" s="87"/>
      <c r="Q37" s="87"/>
      <c r="R37" s="161"/>
      <c r="S37" s="162"/>
    </row>
    <row r="38" spans="1:19" ht="15">
      <c r="A38" s="402" t="s">
        <v>199</v>
      </c>
      <c r="B38" s="87"/>
      <c r="C38" s="87"/>
      <c r="D38" s="87"/>
      <c r="E38" s="87"/>
      <c r="F38" s="87"/>
      <c r="G38" s="87"/>
      <c r="H38" s="87"/>
      <c r="I38" s="161"/>
      <c r="J38" s="402"/>
      <c r="K38" s="87"/>
      <c r="L38" s="87"/>
      <c r="M38" s="87"/>
      <c r="N38" s="87"/>
      <c r="O38" s="87"/>
      <c r="P38" s="87"/>
      <c r="Q38" s="87"/>
      <c r="R38" s="161"/>
      <c r="S38" s="162"/>
    </row>
    <row r="39" spans="1:19" ht="15">
      <c r="A39" s="402" t="s">
        <v>200</v>
      </c>
      <c r="B39" s="87"/>
      <c r="C39" s="87"/>
      <c r="D39" s="87"/>
      <c r="E39" s="87"/>
      <c r="F39" s="87"/>
      <c r="G39" s="87"/>
      <c r="H39" s="87"/>
      <c r="I39" s="161"/>
      <c r="J39" s="402"/>
      <c r="K39" s="87"/>
      <c r="L39" s="87"/>
      <c r="M39" s="87"/>
      <c r="N39" s="87"/>
      <c r="O39" s="87"/>
      <c r="P39" s="87"/>
      <c r="Q39" s="87"/>
      <c r="R39" s="161"/>
      <c r="S39" s="162"/>
    </row>
    <row r="40" spans="1:19" ht="15">
      <c r="A40" s="402" t="s">
        <v>201</v>
      </c>
      <c r="B40" s="87"/>
      <c r="C40" s="87"/>
      <c r="D40" s="87"/>
      <c r="E40" s="87"/>
      <c r="F40" s="87"/>
      <c r="G40" s="87"/>
      <c r="H40" s="87"/>
      <c r="I40" s="161"/>
      <c r="J40" s="402"/>
      <c r="K40" s="87"/>
      <c r="L40" s="87"/>
      <c r="M40" s="87"/>
      <c r="N40" s="87"/>
      <c r="O40" s="87"/>
      <c r="P40" s="87"/>
      <c r="Q40" s="87"/>
      <c r="R40" s="161"/>
      <c r="S40" s="162"/>
    </row>
    <row r="41" spans="1:19" ht="15">
      <c r="A41" s="402"/>
      <c r="B41" s="87"/>
      <c r="C41" s="87"/>
      <c r="D41" s="87"/>
      <c r="E41" s="87"/>
      <c r="F41" s="87"/>
      <c r="G41" s="87"/>
      <c r="H41" s="87"/>
      <c r="I41" s="161"/>
      <c r="J41" s="402"/>
      <c r="K41" s="87"/>
      <c r="L41" s="87"/>
      <c r="M41" s="87"/>
      <c r="N41" s="87"/>
      <c r="O41" s="87"/>
      <c r="P41" s="87"/>
      <c r="Q41" s="87"/>
      <c r="R41" s="161"/>
      <c r="S41" s="162"/>
    </row>
    <row r="42" spans="1:19" ht="15">
      <c r="A42" s="402" t="s">
        <v>202</v>
      </c>
      <c r="B42" s="87"/>
      <c r="C42" s="87"/>
      <c r="D42" s="87"/>
      <c r="E42" s="87"/>
      <c r="F42" s="87"/>
      <c r="G42" s="87"/>
      <c r="H42" s="87"/>
      <c r="I42" s="161"/>
      <c r="J42" s="87"/>
      <c r="K42" s="87"/>
      <c r="L42" s="87"/>
      <c r="M42" s="87"/>
      <c r="N42" s="87"/>
      <c r="O42" s="87"/>
      <c r="P42" s="87"/>
      <c r="Q42" s="87"/>
      <c r="R42" s="161"/>
      <c r="S42" s="162"/>
    </row>
    <row r="43" spans="1:19" ht="15">
      <c r="A43" s="87"/>
      <c r="B43" s="87"/>
      <c r="C43" s="87"/>
      <c r="D43" s="87"/>
      <c r="E43" s="87"/>
      <c r="F43" s="87"/>
      <c r="G43" s="87"/>
      <c r="H43" s="87"/>
      <c r="I43" s="161"/>
      <c r="J43" s="87"/>
      <c r="K43" s="87"/>
      <c r="L43" s="87"/>
      <c r="M43" s="87"/>
      <c r="N43" s="87"/>
      <c r="O43" s="87"/>
      <c r="P43" s="87"/>
      <c r="Q43" s="87"/>
      <c r="R43" s="161"/>
      <c r="S43" s="162"/>
    </row>
    <row r="44" spans="1:19" ht="15">
      <c r="A44" s="87" t="s">
        <v>203</v>
      </c>
      <c r="B44" s="87"/>
      <c r="C44" s="87"/>
      <c r="D44" s="87"/>
      <c r="E44" s="87"/>
      <c r="F44" s="87"/>
      <c r="G44" s="87"/>
      <c r="H44" s="87"/>
      <c r="I44" s="161"/>
      <c r="J44" s="161"/>
      <c r="K44" s="87"/>
      <c r="L44" s="87"/>
      <c r="M44" s="87"/>
      <c r="N44" s="87"/>
      <c r="O44" s="87"/>
      <c r="P44" s="87"/>
      <c r="Q44" s="87"/>
      <c r="R44" s="161"/>
      <c r="S44" s="162"/>
    </row>
    <row r="45" spans="1:19" ht="15">
      <c r="A45" s="161"/>
      <c r="B45" s="87"/>
      <c r="C45" s="87"/>
      <c r="D45" s="87"/>
      <c r="E45" s="87"/>
      <c r="F45" s="87"/>
      <c r="G45" s="87"/>
      <c r="H45" s="87"/>
      <c r="I45" s="161"/>
      <c r="J45" s="161"/>
      <c r="K45" s="87"/>
      <c r="L45" s="87"/>
      <c r="M45" s="87"/>
      <c r="N45" s="87"/>
      <c r="O45" s="87"/>
      <c r="P45" s="87"/>
      <c r="Q45" s="87"/>
      <c r="R45" s="161"/>
      <c r="S45" s="162"/>
    </row>
    <row r="46" spans="1:19" ht="15">
      <c r="A46" s="88"/>
      <c r="B46" s="87"/>
      <c r="C46" s="87"/>
      <c r="D46" s="87"/>
      <c r="E46" s="87"/>
      <c r="F46" s="87"/>
      <c r="G46" s="87"/>
      <c r="H46" s="87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2"/>
    </row>
    <row r="47" spans="1:19" ht="15.75" thickBot="1">
      <c r="A47" s="88"/>
      <c r="B47" s="87"/>
      <c r="C47" s="87"/>
      <c r="D47" s="87"/>
      <c r="E47" s="87"/>
      <c r="F47" s="87"/>
      <c r="G47" s="87"/>
      <c r="H47" s="87"/>
      <c r="I47" s="403"/>
      <c r="J47" s="161"/>
      <c r="K47" s="161"/>
      <c r="L47" s="161"/>
      <c r="M47" s="161"/>
      <c r="N47" s="161"/>
      <c r="O47" s="161"/>
      <c r="P47" s="161"/>
      <c r="Q47" s="161"/>
      <c r="R47" s="161"/>
      <c r="S47" s="162"/>
    </row>
    <row r="48" spans="1:19" ht="20.25">
      <c r="A48" s="163" t="s">
        <v>204</v>
      </c>
      <c r="B48" s="92"/>
      <c r="C48" s="92"/>
      <c r="D48" s="92"/>
      <c r="E48" s="92"/>
      <c r="F48" s="92"/>
      <c r="G48" s="92"/>
      <c r="H48" s="92"/>
      <c r="I48" s="91"/>
      <c r="J48" s="92"/>
      <c r="K48" s="92"/>
      <c r="L48" s="92"/>
      <c r="M48" s="92"/>
      <c r="N48" s="92"/>
      <c r="O48" s="164"/>
      <c r="P48" s="164"/>
      <c r="Q48" s="164"/>
      <c r="R48" s="164"/>
      <c r="S48" s="165"/>
    </row>
    <row r="49" spans="1:19" ht="15">
      <c r="A49" s="570" t="s">
        <v>206</v>
      </c>
      <c r="B49" s="571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2"/>
    </row>
    <row r="50" spans="1:19" ht="15">
      <c r="A50" s="570" t="s">
        <v>205</v>
      </c>
      <c r="B50" s="571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2"/>
    </row>
    <row r="51" spans="1:19" ht="20.25">
      <c r="A51" s="166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168"/>
      <c r="P51" s="168"/>
      <c r="Q51" s="168"/>
      <c r="R51" s="168"/>
      <c r="S51" s="169"/>
    </row>
    <row r="52" spans="1:19" ht="15.75">
      <c r="A52" s="166" t="s">
        <v>214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67"/>
    </row>
    <row r="53" spans="1:19" ht="15">
      <c r="A53" s="166" t="s">
        <v>221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67"/>
    </row>
    <row r="54" spans="1:19" ht="15">
      <c r="A54" s="166" t="s">
        <v>215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67"/>
    </row>
    <row r="55" spans="1:19" ht="15">
      <c r="A55" s="166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67"/>
    </row>
    <row r="56" spans="1:19" ht="20.25">
      <c r="A56" s="166" t="s">
        <v>216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168"/>
      <c r="P56" s="168"/>
      <c r="Q56" s="168"/>
      <c r="R56" s="168"/>
      <c r="S56" s="169"/>
    </row>
    <row r="57" spans="1:19" ht="15">
      <c r="A57" s="166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67"/>
    </row>
    <row r="58" spans="1:19" ht="15">
      <c r="A58" s="166" t="s">
        <v>217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67"/>
    </row>
    <row r="59" spans="1:19" ht="15">
      <c r="A59" s="166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67"/>
    </row>
    <row r="60" spans="1:19" ht="20.25">
      <c r="A60" s="166" t="s">
        <v>218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70"/>
      <c r="P60" s="170"/>
      <c r="Q60" s="170"/>
      <c r="R60" s="170"/>
      <c r="S60" s="171"/>
    </row>
    <row r="61" spans="1:19" ht="20.25">
      <c r="A61" s="166" t="s">
        <v>219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170"/>
      <c r="P61" s="170"/>
      <c r="Q61" s="170"/>
      <c r="R61" s="170"/>
      <c r="S61" s="171"/>
    </row>
    <row r="62" spans="1:19" ht="20.25">
      <c r="A62" s="166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170"/>
      <c r="P62" s="170"/>
      <c r="Q62" s="170"/>
      <c r="R62" s="170"/>
      <c r="S62" s="171"/>
    </row>
    <row r="63" spans="1:19" ht="20.25">
      <c r="A63" s="166" t="s">
        <v>220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172"/>
      <c r="P63" s="172"/>
      <c r="Q63" s="172"/>
      <c r="R63" s="172"/>
      <c r="S63" s="173"/>
    </row>
    <row r="64" spans="1:19" ht="21" thickBot="1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6"/>
      <c r="P64" s="176"/>
      <c r="Q64" s="176"/>
      <c r="R64" s="176"/>
      <c r="S64" s="177"/>
    </row>
    <row r="65" spans="1:19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</sheetData>
  <sheetProtection password="E868" sheet="1" objects="1" scenarios="1"/>
  <mergeCells count="86">
    <mergeCell ref="H33:H34"/>
    <mergeCell ref="I33:I34"/>
    <mergeCell ref="N9:O9"/>
    <mergeCell ref="N10:O10"/>
    <mergeCell ref="N11:O11"/>
    <mergeCell ref="N12:O12"/>
    <mergeCell ref="I9:J9"/>
    <mergeCell ref="I12:J12"/>
    <mergeCell ref="I13:J13"/>
    <mergeCell ref="I14:J14"/>
    <mergeCell ref="A2:S4"/>
    <mergeCell ref="A5:H6"/>
    <mergeCell ref="I5:M6"/>
    <mergeCell ref="N5:S6"/>
    <mergeCell ref="R7:S7"/>
    <mergeCell ref="L7:M7"/>
    <mergeCell ref="A7:H9"/>
    <mergeCell ref="I7:K8"/>
    <mergeCell ref="A10:D11"/>
    <mergeCell ref="E10:F10"/>
    <mergeCell ref="G10:H11"/>
    <mergeCell ref="I10:J10"/>
    <mergeCell ref="I11:J11"/>
    <mergeCell ref="N7:Q8"/>
    <mergeCell ref="I18:J18"/>
    <mergeCell ref="N18:P18"/>
    <mergeCell ref="I19:J19"/>
    <mergeCell ref="N19:P19"/>
    <mergeCell ref="I15:J15"/>
    <mergeCell ref="A16:A17"/>
    <mergeCell ref="I16:J16"/>
    <mergeCell ref="I17:J17"/>
    <mergeCell ref="A23:I23"/>
    <mergeCell ref="J23:M23"/>
    <mergeCell ref="N23:S23"/>
    <mergeCell ref="A24:I25"/>
    <mergeCell ref="J24:K24"/>
    <mergeCell ref="R24:S24"/>
    <mergeCell ref="J25:K25"/>
    <mergeCell ref="R25:S25"/>
    <mergeCell ref="R26:S26"/>
    <mergeCell ref="J27:K27"/>
    <mergeCell ref="R27:S27"/>
    <mergeCell ref="A28:C28"/>
    <mergeCell ref="J28:K28"/>
    <mergeCell ref="R28:S28"/>
    <mergeCell ref="A26:D27"/>
    <mergeCell ref="E26:F27"/>
    <mergeCell ref="G26:I26"/>
    <mergeCell ref="J26:K26"/>
    <mergeCell ref="A29:C29"/>
    <mergeCell ref="J29:K29"/>
    <mergeCell ref="R29:S29"/>
    <mergeCell ref="A30:C30"/>
    <mergeCell ref="J30:K30"/>
    <mergeCell ref="R30:S30"/>
    <mergeCell ref="A35:D35"/>
    <mergeCell ref="J31:K31"/>
    <mergeCell ref="R31:S31"/>
    <mergeCell ref="A32:C32"/>
    <mergeCell ref="R32:S32"/>
    <mergeCell ref="A31:C31"/>
    <mergeCell ref="G31:G32"/>
    <mergeCell ref="H31:H32"/>
    <mergeCell ref="I31:I32"/>
    <mergeCell ref="G33:G34"/>
    <mergeCell ref="A1:R1"/>
    <mergeCell ref="A49:S49"/>
    <mergeCell ref="A50:S50"/>
    <mergeCell ref="J33:K33"/>
    <mergeCell ref="R33:S33"/>
    <mergeCell ref="J35:K35"/>
    <mergeCell ref="R35:S35"/>
    <mergeCell ref="A33:C33"/>
    <mergeCell ref="A34:C34"/>
    <mergeCell ref="J34:K34"/>
    <mergeCell ref="N21:P21"/>
    <mergeCell ref="N22:P22"/>
    <mergeCell ref="I20:J20"/>
    <mergeCell ref="G35:I35"/>
    <mergeCell ref="G19:G21"/>
    <mergeCell ref="A22:H22"/>
    <mergeCell ref="I22:J22"/>
    <mergeCell ref="I21:J21"/>
    <mergeCell ref="A18:A21"/>
    <mergeCell ref="B18:B21"/>
  </mergeCells>
  <printOptions/>
  <pageMargins left="0.14" right="0.13" top="0.97" bottom="0.49" header="0.19" footer="0.47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showZeros="0" zoomScale="88" zoomScaleNormal="88" zoomScalePageLayoutView="0" workbookViewId="0" topLeftCell="B1">
      <selection activeCell="H34" sqref="H34"/>
    </sheetView>
  </sheetViews>
  <sheetFormatPr defaultColWidth="9.140625" defaultRowHeight="12.75"/>
  <cols>
    <col min="2" max="2" width="35.28125" style="0" customWidth="1"/>
    <col min="3" max="3" width="13.57421875" style="27" customWidth="1"/>
    <col min="4" max="4" width="11.57421875" style="28" customWidth="1"/>
    <col min="5" max="6" width="11.7109375" style="28" customWidth="1"/>
    <col min="7" max="8" width="18.421875" style="28" customWidth="1"/>
  </cols>
  <sheetData>
    <row r="1" spans="3:8" s="45" customFormat="1" ht="12.75">
      <c r="C1" s="46"/>
      <c r="D1" s="47"/>
      <c r="E1" s="47"/>
      <c r="F1" s="47"/>
      <c r="G1" s="47"/>
      <c r="H1" s="47"/>
    </row>
    <row r="2" spans="3:8" s="45" customFormat="1" ht="12.75">
      <c r="C2" s="46"/>
      <c r="D2" s="47"/>
      <c r="E2" s="47"/>
      <c r="F2" s="47"/>
      <c r="G2" s="47"/>
      <c r="H2" s="47"/>
    </row>
    <row r="3" spans="2:8" s="45" customFormat="1" ht="12.75">
      <c r="B3" s="48"/>
      <c r="C3" s="49"/>
      <c r="D3" s="49"/>
      <c r="E3" s="50"/>
      <c r="F3" s="50"/>
      <c r="G3" s="49"/>
      <c r="H3" s="47"/>
    </row>
    <row r="4" spans="2:8" s="51" customFormat="1" ht="30">
      <c r="B4" s="686" t="s">
        <v>54</v>
      </c>
      <c r="C4" s="686"/>
      <c r="D4" s="686"/>
      <c r="E4" s="686"/>
      <c r="F4" s="686"/>
      <c r="G4" s="686"/>
      <c r="H4" s="686"/>
    </row>
    <row r="5" spans="2:8" ht="24.75" thickBot="1">
      <c r="B5" s="213" t="s">
        <v>16</v>
      </c>
      <c r="C5" s="193"/>
      <c r="D5" s="193"/>
      <c r="E5" s="2"/>
      <c r="F5" s="2"/>
      <c r="G5" s="193"/>
      <c r="H5" s="194" t="s">
        <v>208</v>
      </c>
    </row>
    <row r="6" spans="2:8" ht="42.75" customHeight="1">
      <c r="B6" s="214" t="s">
        <v>0</v>
      </c>
      <c r="C6" s="195" t="s">
        <v>69</v>
      </c>
      <c r="D6" s="195" t="s">
        <v>72</v>
      </c>
      <c r="E6" s="59" t="s">
        <v>78</v>
      </c>
      <c r="F6" s="59" t="s">
        <v>79</v>
      </c>
      <c r="G6" s="195" t="s">
        <v>73</v>
      </c>
      <c r="H6" s="196" t="s">
        <v>74</v>
      </c>
    </row>
    <row r="7" spans="2:8" s="61" customFormat="1" ht="15.75">
      <c r="B7" s="215" t="s">
        <v>56</v>
      </c>
      <c r="C7" s="197" t="s">
        <v>70</v>
      </c>
      <c r="D7" s="197" t="s">
        <v>71</v>
      </c>
      <c r="E7" s="66" t="s">
        <v>77</v>
      </c>
      <c r="F7" s="66" t="s">
        <v>77</v>
      </c>
      <c r="G7" s="197" t="s">
        <v>71</v>
      </c>
      <c r="H7" s="198" t="s">
        <v>71</v>
      </c>
    </row>
    <row r="8" spans="2:8" ht="12.75">
      <c r="B8" s="523" t="s">
        <v>291</v>
      </c>
      <c r="C8" s="484">
        <v>1.15</v>
      </c>
      <c r="D8" s="499">
        <v>1.7</v>
      </c>
      <c r="E8" s="503"/>
      <c r="F8" s="274"/>
      <c r="G8" s="446">
        <f>C8*D8*E8/100</f>
        <v>0</v>
      </c>
      <c r="H8" s="447">
        <f>C8*F8*D8/100</f>
        <v>0</v>
      </c>
    </row>
    <row r="9" spans="2:8" ht="12.75">
      <c r="B9" s="523" t="s">
        <v>292</v>
      </c>
      <c r="C9" s="485">
        <v>1.18</v>
      </c>
      <c r="D9" s="500">
        <v>2.85</v>
      </c>
      <c r="E9" s="503"/>
      <c r="F9" s="274"/>
      <c r="G9" s="444">
        <f>C9*D9*E9/100</f>
        <v>0</v>
      </c>
      <c r="H9" s="445">
        <f>C9*F9*D9/100</f>
        <v>0</v>
      </c>
    </row>
    <row r="10" spans="2:8" ht="12.75">
      <c r="B10" s="523" t="s">
        <v>293</v>
      </c>
      <c r="C10" s="485">
        <v>1.3</v>
      </c>
      <c r="D10" s="500">
        <v>1.8</v>
      </c>
      <c r="E10" s="503"/>
      <c r="F10" s="274"/>
      <c r="G10" s="444">
        <f aca="true" t="shared" si="0" ref="G10:G16">C10*D10*E10/100</f>
        <v>0</v>
      </c>
      <c r="H10" s="445">
        <f aca="true" t="shared" si="1" ref="H10:H16">C10*F10*D10/100</f>
        <v>0</v>
      </c>
    </row>
    <row r="11" spans="2:8" ht="12.75">
      <c r="B11" s="523" t="s">
        <v>294</v>
      </c>
      <c r="C11" s="485">
        <v>1.45</v>
      </c>
      <c r="D11" s="500">
        <v>3.3</v>
      </c>
      <c r="E11" s="503"/>
      <c r="F11" s="274"/>
      <c r="G11" s="444">
        <f t="shared" si="0"/>
        <v>0</v>
      </c>
      <c r="H11" s="445">
        <f t="shared" si="1"/>
        <v>0</v>
      </c>
    </row>
    <row r="12" spans="2:8" ht="12.75">
      <c r="B12" s="480" t="s">
        <v>295</v>
      </c>
      <c r="C12" s="484">
        <v>1.18</v>
      </c>
      <c r="D12" s="499">
        <v>2</v>
      </c>
      <c r="E12" s="503"/>
      <c r="F12" s="274"/>
      <c r="G12" s="444">
        <f t="shared" si="0"/>
        <v>0</v>
      </c>
      <c r="H12" s="445">
        <f t="shared" si="1"/>
        <v>0</v>
      </c>
    </row>
    <row r="13" spans="2:8" ht="12.75">
      <c r="B13" s="480" t="s">
        <v>296</v>
      </c>
      <c r="C13" s="484">
        <v>1.34</v>
      </c>
      <c r="D13" s="499">
        <v>2</v>
      </c>
      <c r="E13" s="503"/>
      <c r="F13" s="274"/>
      <c r="G13" s="444">
        <f t="shared" si="0"/>
        <v>0</v>
      </c>
      <c r="H13" s="445">
        <f t="shared" si="1"/>
        <v>0</v>
      </c>
    </row>
    <row r="14" spans="2:8" ht="12.75">
      <c r="B14" s="270" t="s">
        <v>120</v>
      </c>
      <c r="C14" s="485">
        <v>1.2</v>
      </c>
      <c r="D14" s="500">
        <v>3.15</v>
      </c>
      <c r="E14" s="503"/>
      <c r="F14" s="528"/>
      <c r="G14" s="444">
        <f t="shared" si="0"/>
        <v>0</v>
      </c>
      <c r="H14" s="445">
        <f t="shared" si="1"/>
        <v>0</v>
      </c>
    </row>
    <row r="15" spans="2:8" ht="12.75">
      <c r="B15" s="523" t="s">
        <v>5</v>
      </c>
      <c r="C15" s="484">
        <v>1.06</v>
      </c>
      <c r="D15" s="545">
        <v>2.95</v>
      </c>
      <c r="E15" s="526"/>
      <c r="F15" s="268"/>
      <c r="G15" s="527">
        <f t="shared" si="0"/>
        <v>0</v>
      </c>
      <c r="H15" s="445">
        <f t="shared" si="1"/>
        <v>0</v>
      </c>
    </row>
    <row r="16" spans="2:8" ht="12.75">
      <c r="B16" s="480" t="s">
        <v>6</v>
      </c>
      <c r="C16" s="485">
        <v>1.08</v>
      </c>
      <c r="D16" s="546">
        <v>3.8</v>
      </c>
      <c r="E16" s="503"/>
      <c r="F16" s="274"/>
      <c r="G16" s="444">
        <f t="shared" si="0"/>
        <v>0</v>
      </c>
      <c r="H16" s="445">
        <f t="shared" si="1"/>
        <v>0</v>
      </c>
    </row>
    <row r="17" spans="2:8" ht="12.75">
      <c r="B17" s="265" t="s">
        <v>263</v>
      </c>
      <c r="C17" s="486">
        <v>1.08</v>
      </c>
      <c r="D17" s="483">
        <v>4.45</v>
      </c>
      <c r="E17" s="503"/>
      <c r="F17" s="274"/>
      <c r="G17" s="444">
        <f>C17*D17*E17/100</f>
        <v>0</v>
      </c>
      <c r="H17" s="445">
        <f>C17*F17*D17/100</f>
        <v>0</v>
      </c>
    </row>
    <row r="18" spans="2:8" ht="12.75">
      <c r="B18" s="270" t="s">
        <v>3</v>
      </c>
      <c r="C18" s="485">
        <v>1.08</v>
      </c>
      <c r="D18" s="500">
        <v>2.7</v>
      </c>
      <c r="E18" s="503"/>
      <c r="F18" s="274"/>
      <c r="G18" s="444">
        <f>C18*D18*E18/100</f>
        <v>0</v>
      </c>
      <c r="H18" s="445">
        <f>C18*F18*D18/100</f>
        <v>0</v>
      </c>
    </row>
    <row r="19" spans="2:8" ht="12.75">
      <c r="B19" s="270" t="s">
        <v>4</v>
      </c>
      <c r="C19" s="485">
        <v>1.1</v>
      </c>
      <c r="D19" s="500">
        <v>3.15</v>
      </c>
      <c r="E19" s="503"/>
      <c r="F19" s="274"/>
      <c r="G19" s="444">
        <f aca="true" t="shared" si="2" ref="G19:G24">C19*D19*E19/100</f>
        <v>0</v>
      </c>
      <c r="H19" s="445">
        <f aca="true" t="shared" si="3" ref="H19:H24">C19*F19*D19/100</f>
        <v>0</v>
      </c>
    </row>
    <row r="20" spans="2:8" ht="12.75">
      <c r="B20" s="496" t="s">
        <v>264</v>
      </c>
      <c r="C20" s="521">
        <v>1.08</v>
      </c>
      <c r="D20" s="522">
        <v>3.5</v>
      </c>
      <c r="E20" s="503"/>
      <c r="F20" s="274"/>
      <c r="G20" s="481">
        <f t="shared" si="2"/>
        <v>0</v>
      </c>
      <c r="H20" s="482">
        <f t="shared" si="3"/>
        <v>0</v>
      </c>
    </row>
    <row r="21" spans="2:8" ht="12.75">
      <c r="B21" s="363" t="s">
        <v>223</v>
      </c>
      <c r="C21" s="487">
        <v>1.12</v>
      </c>
      <c r="D21" s="501">
        <v>2.95</v>
      </c>
      <c r="E21" s="503"/>
      <c r="F21" s="274"/>
      <c r="G21" s="481">
        <f t="shared" si="2"/>
        <v>0</v>
      </c>
      <c r="H21" s="482">
        <f t="shared" si="3"/>
        <v>0</v>
      </c>
    </row>
    <row r="22" spans="2:8" ht="12.75">
      <c r="B22" s="270" t="s">
        <v>121</v>
      </c>
      <c r="C22" s="485">
        <v>1.06</v>
      </c>
      <c r="D22" s="500">
        <v>2.65</v>
      </c>
      <c r="E22" s="503"/>
      <c r="F22" s="274"/>
      <c r="G22" s="439">
        <f t="shared" si="2"/>
        <v>0</v>
      </c>
      <c r="H22" s="433">
        <f t="shared" si="3"/>
        <v>0</v>
      </c>
    </row>
    <row r="23" spans="2:8" ht="12.75">
      <c r="B23" s="480" t="s">
        <v>285</v>
      </c>
      <c r="C23" s="485">
        <v>1.06</v>
      </c>
      <c r="D23" s="500">
        <v>3.1</v>
      </c>
      <c r="E23" s="503"/>
      <c r="F23" s="274"/>
      <c r="G23" s="439">
        <f t="shared" si="2"/>
        <v>0</v>
      </c>
      <c r="H23" s="433">
        <f t="shared" si="3"/>
        <v>0</v>
      </c>
    </row>
    <row r="24" spans="2:8" ht="12.75">
      <c r="B24" s="480" t="s">
        <v>9</v>
      </c>
      <c r="C24" s="485">
        <v>1.1</v>
      </c>
      <c r="D24" s="425">
        <v>20</v>
      </c>
      <c r="E24" s="503"/>
      <c r="F24" s="274"/>
      <c r="G24" s="439">
        <f t="shared" si="2"/>
        <v>0</v>
      </c>
      <c r="H24" s="433">
        <f t="shared" si="3"/>
        <v>0</v>
      </c>
    </row>
    <row r="25" spans="2:8" ht="12.75">
      <c r="B25" s="480" t="s">
        <v>286</v>
      </c>
      <c r="C25" s="485">
        <v>1.1</v>
      </c>
      <c r="D25" s="425">
        <v>21.5</v>
      </c>
      <c r="E25" s="503"/>
      <c r="F25" s="274"/>
      <c r="G25" s="444">
        <f aca="true" t="shared" si="4" ref="G25:G33">C25*D25*E25/100</f>
        <v>0</v>
      </c>
      <c r="H25" s="445">
        <f aca="true" t="shared" si="5" ref="H25:H33">C25*F25*D25/100</f>
        <v>0</v>
      </c>
    </row>
    <row r="26" spans="2:8" ht="12.75">
      <c r="B26" s="456" t="s">
        <v>269</v>
      </c>
      <c r="C26" s="488">
        <v>1.15</v>
      </c>
      <c r="D26" s="483">
        <v>10.5</v>
      </c>
      <c r="E26" s="503"/>
      <c r="F26" s="274"/>
      <c r="G26" s="444">
        <f t="shared" si="4"/>
        <v>0</v>
      </c>
      <c r="H26" s="445">
        <f t="shared" si="5"/>
        <v>0</v>
      </c>
    </row>
    <row r="27" spans="2:8" ht="12.75">
      <c r="B27" s="456" t="s">
        <v>270</v>
      </c>
      <c r="C27" s="488">
        <v>1.15</v>
      </c>
      <c r="D27" s="483">
        <v>13.5</v>
      </c>
      <c r="E27" s="503"/>
      <c r="F27" s="274"/>
      <c r="G27" s="444">
        <f t="shared" si="4"/>
        <v>0</v>
      </c>
      <c r="H27" s="445">
        <f t="shared" si="5"/>
        <v>0</v>
      </c>
    </row>
    <row r="28" spans="2:8" ht="12.75">
      <c r="B28" s="480" t="s">
        <v>266</v>
      </c>
      <c r="C28" s="486">
        <v>1.12</v>
      </c>
      <c r="D28" s="483">
        <v>4</v>
      </c>
      <c r="E28" s="503"/>
      <c r="F28" s="274"/>
      <c r="G28" s="444">
        <f t="shared" si="4"/>
        <v>0</v>
      </c>
      <c r="H28" s="445">
        <f t="shared" si="5"/>
        <v>0</v>
      </c>
    </row>
    <row r="29" spans="2:8" ht="12.75">
      <c r="B29" s="480" t="s">
        <v>7</v>
      </c>
      <c r="C29" s="485">
        <v>1.15</v>
      </c>
      <c r="D29" s="500">
        <v>10.3</v>
      </c>
      <c r="E29" s="503"/>
      <c r="F29" s="274"/>
      <c r="G29" s="444">
        <f>C29*D29*E29/100</f>
        <v>0</v>
      </c>
      <c r="H29" s="445">
        <f>C29*F29*D29/100</f>
        <v>0</v>
      </c>
    </row>
    <row r="30" spans="2:8" ht="12.75">
      <c r="B30" s="480" t="s">
        <v>8</v>
      </c>
      <c r="C30" s="485">
        <v>1.15</v>
      </c>
      <c r="D30" s="500">
        <v>11.5</v>
      </c>
      <c r="E30" s="503"/>
      <c r="F30" s="274"/>
      <c r="G30" s="444">
        <f>C30*D30*E30/100</f>
        <v>0</v>
      </c>
      <c r="H30" s="445">
        <f>C30*F30*D30/100</f>
        <v>0</v>
      </c>
    </row>
    <row r="31" spans="2:8" ht="12.75">
      <c r="B31" s="329" t="s">
        <v>272</v>
      </c>
      <c r="C31" s="359">
        <v>1.03</v>
      </c>
      <c r="D31" s="502">
        <v>5</v>
      </c>
      <c r="E31" s="503"/>
      <c r="F31" s="274"/>
      <c r="G31" s="444">
        <f t="shared" si="4"/>
        <v>0</v>
      </c>
      <c r="H31" s="445">
        <f t="shared" si="5"/>
        <v>0</v>
      </c>
    </row>
    <row r="32" spans="2:8" ht="12.75">
      <c r="B32" s="322" t="s">
        <v>265</v>
      </c>
      <c r="C32" s="497">
        <v>1.08</v>
      </c>
      <c r="D32" s="498">
        <v>8</v>
      </c>
      <c r="E32" s="503"/>
      <c r="F32" s="274"/>
      <c r="G32" s="444">
        <f t="shared" si="4"/>
        <v>0</v>
      </c>
      <c r="H32" s="445">
        <f t="shared" si="5"/>
        <v>0</v>
      </c>
    </row>
    <row r="33" spans="2:8" ht="13.5" thickBot="1">
      <c r="B33" s="315" t="s">
        <v>224</v>
      </c>
      <c r="C33" s="487">
        <v>1.15</v>
      </c>
      <c r="D33" s="501">
        <v>5</v>
      </c>
      <c r="E33" s="503"/>
      <c r="F33" s="274"/>
      <c r="G33" s="444">
        <f t="shared" si="4"/>
        <v>0</v>
      </c>
      <c r="H33" s="445">
        <f t="shared" si="5"/>
        <v>0</v>
      </c>
    </row>
    <row r="34" spans="2:8" ht="18">
      <c r="B34" s="217" t="s">
        <v>18</v>
      </c>
      <c r="C34" s="218"/>
      <c r="D34" s="219"/>
      <c r="E34" s="321"/>
      <c r="F34" s="254"/>
      <c r="G34" s="416">
        <f>SUM(G8:G33)</f>
        <v>0</v>
      </c>
      <c r="H34" s="417">
        <f>SUM(H8:H33)</f>
        <v>0</v>
      </c>
    </row>
    <row r="35" spans="2:8" ht="12.75">
      <c r="B35" s="220" t="s">
        <v>57</v>
      </c>
      <c r="C35" s="201"/>
      <c r="D35" s="201"/>
      <c r="E35" s="255"/>
      <c r="F35" s="255"/>
      <c r="G35" s="201"/>
      <c r="H35" s="202"/>
    </row>
    <row r="36" spans="2:8" ht="12.75">
      <c r="B36" s="363" t="s">
        <v>122</v>
      </c>
      <c r="C36" s="364">
        <v>1.01</v>
      </c>
      <c r="D36" s="264">
        <v>10</v>
      </c>
      <c r="E36" s="273"/>
      <c r="F36" s="274"/>
      <c r="G36" s="199">
        <f>C36*D36*E36/100</f>
        <v>0</v>
      </c>
      <c r="H36" s="200">
        <f>C36*F36*D36/100</f>
        <v>0</v>
      </c>
    </row>
    <row r="37" spans="2:8" ht="12.75">
      <c r="B37" s="315" t="s">
        <v>123</v>
      </c>
      <c r="C37" s="316">
        <v>1.01</v>
      </c>
      <c r="D37" s="271">
        <v>10</v>
      </c>
      <c r="E37" s="267"/>
      <c r="F37" s="268"/>
      <c r="G37" s="199">
        <f>C37*D37*E37/100</f>
        <v>0</v>
      </c>
      <c r="H37" s="200">
        <f>C37*F37*D37/100</f>
        <v>0</v>
      </c>
    </row>
    <row r="38" spans="2:8" ht="13.5" thickBot="1">
      <c r="B38" s="317" t="s">
        <v>124</v>
      </c>
      <c r="C38" s="318">
        <v>1.01</v>
      </c>
      <c r="D38" s="276">
        <v>20</v>
      </c>
      <c r="E38" s="277"/>
      <c r="F38" s="278"/>
      <c r="G38" s="199">
        <f>C38*D38*E38/100</f>
        <v>0</v>
      </c>
      <c r="H38" s="200">
        <f>C38*F38*D38/100</f>
        <v>0</v>
      </c>
    </row>
    <row r="39" spans="2:8" ht="19.5" thickBot="1">
      <c r="B39" s="221" t="s">
        <v>58</v>
      </c>
      <c r="C39" s="222"/>
      <c r="D39" s="223"/>
      <c r="E39" s="239" t="s">
        <v>222</v>
      </c>
      <c r="F39" s="239" t="s">
        <v>222</v>
      </c>
      <c r="G39" s="203">
        <f>SUM(G36:G38)</f>
        <v>0</v>
      </c>
      <c r="H39" s="204">
        <f>SUM(H36:H38)</f>
        <v>0</v>
      </c>
    </row>
    <row r="40" spans="2:8" ht="18.75" thickBot="1">
      <c r="B40" s="221" t="s">
        <v>19</v>
      </c>
      <c r="C40" s="222"/>
      <c r="D40" s="223"/>
      <c r="E40" s="236"/>
      <c r="F40" s="237"/>
      <c r="G40" s="418">
        <f>G39+G34</f>
        <v>0</v>
      </c>
      <c r="H40" s="419">
        <f>H39+H34</f>
        <v>0</v>
      </c>
    </row>
    <row r="41" spans="1:8" ht="29.25" customHeight="1" thickBot="1">
      <c r="A41" s="1"/>
      <c r="B41" s="213" t="s">
        <v>17</v>
      </c>
      <c r="C41" s="193"/>
      <c r="D41" s="205"/>
      <c r="E41" s="238"/>
      <c r="F41" s="238"/>
      <c r="G41" s="205"/>
      <c r="H41" s="205"/>
    </row>
    <row r="42" spans="2:8" ht="38.25">
      <c r="B42" s="224"/>
      <c r="C42" s="225" t="s">
        <v>25</v>
      </c>
      <c r="D42" s="206" t="s">
        <v>28</v>
      </c>
      <c r="E42" s="23" t="s">
        <v>26</v>
      </c>
      <c r="F42" s="23" t="s">
        <v>27</v>
      </c>
      <c r="G42" s="206" t="s">
        <v>26</v>
      </c>
      <c r="H42" s="206" t="s">
        <v>27</v>
      </c>
    </row>
    <row r="43" spans="2:8" ht="12.75">
      <c r="B43" s="220" t="s">
        <v>22</v>
      </c>
      <c r="C43" s="201"/>
      <c r="D43" s="201"/>
      <c r="E43" s="4"/>
      <c r="F43" s="4"/>
      <c r="G43" s="201"/>
      <c r="H43" s="202"/>
    </row>
    <row r="44" spans="2:8" ht="12.75">
      <c r="B44" s="365" t="s">
        <v>40</v>
      </c>
      <c r="C44" s="364"/>
      <c r="D44" s="366"/>
      <c r="E44" s="273">
        <v>52</v>
      </c>
      <c r="F44" s="274">
        <v>52</v>
      </c>
      <c r="G44" s="199"/>
      <c r="H44" s="200"/>
    </row>
    <row r="45" spans="2:8" ht="12.75">
      <c r="B45" s="315" t="s">
        <v>75</v>
      </c>
      <c r="C45" s="316">
        <v>3.25</v>
      </c>
      <c r="D45" s="367"/>
      <c r="E45" s="324" t="s">
        <v>12</v>
      </c>
      <c r="F45" s="325" t="s">
        <v>12</v>
      </c>
      <c r="G45" s="199">
        <f>IF(E45="X",$E$44*C45,0)/100</f>
        <v>1.69</v>
      </c>
      <c r="H45" s="200">
        <f>+IF(F45="X",$F$44*C45,0)/100</f>
        <v>1.69</v>
      </c>
    </row>
    <row r="46" spans="2:8" ht="13.5" thickBot="1">
      <c r="B46" s="317" t="s">
        <v>76</v>
      </c>
      <c r="C46" s="452">
        <f>0.9/14/1.693</f>
        <v>0.03797147920006751</v>
      </c>
      <c r="D46" s="368" t="s">
        <v>20</v>
      </c>
      <c r="E46" s="319"/>
      <c r="F46" s="320"/>
      <c r="G46" s="199">
        <f>IF(E46="X",$E$44*C46,0)/2</f>
        <v>0</v>
      </c>
      <c r="H46" s="200">
        <f>IF(F46="X",$F$44*C46,0)/2</f>
        <v>0</v>
      </c>
    </row>
    <row r="47" spans="2:8" ht="18.75" thickBot="1">
      <c r="B47" s="221" t="s">
        <v>59</v>
      </c>
      <c r="C47" s="222"/>
      <c r="D47" s="223"/>
      <c r="E47" s="236"/>
      <c r="F47" s="237"/>
      <c r="G47" s="418">
        <f>SUM(G45:G46)</f>
        <v>1.69</v>
      </c>
      <c r="H47" s="419">
        <f>SUM(H45:H46)</f>
        <v>1.69</v>
      </c>
    </row>
    <row r="48" spans="2:8" ht="18.75" thickBot="1">
      <c r="B48" s="221" t="s">
        <v>60</v>
      </c>
      <c r="C48" s="222"/>
      <c r="D48" s="223"/>
      <c r="E48" s="236"/>
      <c r="F48" s="237"/>
      <c r="G48" s="418">
        <f>G47+G40</f>
        <v>1.69</v>
      </c>
      <c r="H48" s="419">
        <f>H47+H40</f>
        <v>1.69</v>
      </c>
    </row>
    <row r="49" spans="1:8" ht="37.5" customHeight="1" thickBot="1">
      <c r="A49" s="1"/>
      <c r="B49" s="213" t="s">
        <v>52</v>
      </c>
      <c r="C49" s="193"/>
      <c r="D49" s="205"/>
      <c r="E49" s="3"/>
      <c r="F49" s="3"/>
      <c r="G49" s="207"/>
      <c r="H49" s="207"/>
    </row>
    <row r="50" spans="1:8" ht="45.75" customHeight="1">
      <c r="A50" s="1"/>
      <c r="B50" s="226" t="s">
        <v>11</v>
      </c>
      <c r="C50" s="225" t="s">
        <v>240</v>
      </c>
      <c r="D50" s="206" t="s">
        <v>28</v>
      </c>
      <c r="E50" s="687" t="s">
        <v>86</v>
      </c>
      <c r="F50" s="687"/>
      <c r="G50" s="684" t="s">
        <v>31</v>
      </c>
      <c r="H50" s="685"/>
    </row>
    <row r="51" spans="2:8" s="61" customFormat="1" ht="15.75">
      <c r="B51" s="227" t="s">
        <v>29</v>
      </c>
      <c r="C51" s="228"/>
      <c r="D51" s="208"/>
      <c r="E51" s="55"/>
      <c r="F51" s="55"/>
      <c r="G51" s="208" t="s">
        <v>15</v>
      </c>
      <c r="H51" s="209" t="s">
        <v>14</v>
      </c>
    </row>
    <row r="52" spans="2:8" ht="12.75">
      <c r="B52" s="373" t="s">
        <v>61</v>
      </c>
      <c r="C52" s="364"/>
      <c r="D52" s="376"/>
      <c r="E52" s="361">
        <v>150</v>
      </c>
      <c r="F52" s="334"/>
      <c r="G52" s="210"/>
      <c r="H52" s="211"/>
    </row>
    <row r="53" spans="2:8" ht="12.75">
      <c r="B53" s="374" t="s">
        <v>63</v>
      </c>
      <c r="C53" s="316"/>
      <c r="D53" s="377"/>
      <c r="E53" s="312">
        <v>312</v>
      </c>
      <c r="F53" s="335"/>
      <c r="G53" s="210"/>
      <c r="H53" s="211"/>
    </row>
    <row r="54" spans="2:8" ht="12.75">
      <c r="B54" s="229" t="s">
        <v>41</v>
      </c>
      <c r="C54" s="379"/>
      <c r="D54" s="205"/>
      <c r="E54" s="370"/>
      <c r="F54" s="9"/>
      <c r="G54" s="210"/>
      <c r="H54" s="211"/>
    </row>
    <row r="55" spans="2:8" ht="12.75">
      <c r="B55" s="288" t="s">
        <v>233</v>
      </c>
      <c r="C55" s="369"/>
      <c r="D55" s="377"/>
      <c r="E55" s="460">
        <f>IF(SUM($E$36:$E$38)&gt;0,"X","")</f>
      </c>
      <c r="F55" s="335"/>
      <c r="G55" s="199"/>
      <c r="H55" s="200"/>
    </row>
    <row r="56" spans="2:8" ht="12.75">
      <c r="B56" s="288" t="s">
        <v>234</v>
      </c>
      <c r="C56" s="369"/>
      <c r="D56" s="377"/>
      <c r="E56" s="460">
        <f>IF(SUM($F$36:$F$38)&gt;0,"X","")</f>
      </c>
      <c r="F56" s="335"/>
      <c r="G56" s="199"/>
      <c r="H56" s="200"/>
    </row>
    <row r="57" spans="2:8" ht="12.75">
      <c r="B57" s="374" t="s">
        <v>64</v>
      </c>
      <c r="C57" s="316"/>
      <c r="D57" s="377"/>
      <c r="E57" s="371">
        <f>E53-E58</f>
        <v>175.5576923076923</v>
      </c>
      <c r="F57" s="335"/>
      <c r="G57" s="199">
        <f>G48*E57/1000</f>
        <v>0.2966924999999999</v>
      </c>
      <c r="H57" s="200">
        <f>G57*1000/$E$53</f>
        <v>0.9509374999999998</v>
      </c>
    </row>
    <row r="58" spans="2:8" ht="13.5" thickBot="1">
      <c r="B58" s="375" t="s">
        <v>65</v>
      </c>
      <c r="C58" s="318"/>
      <c r="D58" s="378"/>
      <c r="E58" s="372">
        <f>E61*E52/F44*IF(F46="X",2,1)*IF(E56="X",1.2,1.1)</f>
        <v>136.4423076923077</v>
      </c>
      <c r="F58" s="328"/>
      <c r="G58" s="199">
        <f>H48*E58/1000</f>
        <v>0.2305875</v>
      </c>
      <c r="H58" s="200">
        <f>G58*1000/$E$53</f>
        <v>0.7390625000000001</v>
      </c>
    </row>
    <row r="59" spans="2:8" ht="18.75" thickBot="1">
      <c r="B59" s="221" t="s">
        <v>62</v>
      </c>
      <c r="C59" s="222"/>
      <c r="D59" s="223"/>
      <c r="E59" s="222"/>
      <c r="F59" s="12"/>
      <c r="G59" s="420">
        <f>SUM(G57:G58)</f>
        <v>0.52728</v>
      </c>
      <c r="H59" s="421">
        <f>SUM(H57:H58)</f>
        <v>1.69</v>
      </c>
    </row>
    <row r="60" spans="2:8" ht="12.75">
      <c r="B60" s="216" t="s">
        <v>66</v>
      </c>
      <c r="C60" s="70">
        <v>0.8</v>
      </c>
      <c r="D60" s="211"/>
      <c r="E60" s="240"/>
      <c r="F60" s="9"/>
      <c r="G60" s="199">
        <f>IF(E46&lt;&gt;"X",E57*C60,0)/1000</f>
        <v>0.14044615384615383</v>
      </c>
      <c r="H60" s="200">
        <f>G60*1000/$E$53</f>
        <v>0.4501479289940828</v>
      </c>
    </row>
    <row r="61" spans="2:8" ht="13.5" thickBot="1">
      <c r="B61" s="380" t="s">
        <v>67</v>
      </c>
      <c r="C61" s="294">
        <v>1</v>
      </c>
      <c r="D61" s="381"/>
      <c r="E61" s="296">
        <v>43</v>
      </c>
      <c r="F61" s="328"/>
      <c r="G61" s="199">
        <f>E61*C61/100/(IF(E52&lt;90,INT(90/E52),1))</f>
        <v>0.43</v>
      </c>
      <c r="H61" s="200">
        <f>G61*1000/$E$53</f>
        <v>1.3782051282051282</v>
      </c>
    </row>
    <row r="62" spans="2:8" ht="18.75" thickBot="1">
      <c r="B62" s="221" t="s">
        <v>24</v>
      </c>
      <c r="C62" s="222"/>
      <c r="D62" s="223"/>
      <c r="E62" s="236"/>
      <c r="F62" s="12"/>
      <c r="G62" s="420">
        <f>G61+G60</f>
        <v>0.5704461538461538</v>
      </c>
      <c r="H62" s="421">
        <f>H61+H60</f>
        <v>1.828353057199211</v>
      </c>
    </row>
    <row r="63" spans="2:8" ht="18.75" thickBot="1">
      <c r="B63" s="221" t="s">
        <v>68</v>
      </c>
      <c r="C63" s="222"/>
      <c r="D63" s="223"/>
      <c r="E63" s="236"/>
      <c r="F63" s="12"/>
      <c r="G63" s="420">
        <f>G62+G59</f>
        <v>1.0977261538461538</v>
      </c>
      <c r="H63" s="421">
        <f>H62+H59</f>
        <v>3.518353057199211</v>
      </c>
    </row>
    <row r="64" spans="2:8" s="1" customFormat="1" ht="18.75">
      <c r="B64" s="230"/>
      <c r="C64" s="193"/>
      <c r="D64" s="205"/>
      <c r="E64" s="3"/>
      <c r="F64" s="3"/>
      <c r="G64" s="207"/>
      <c r="H64" s="207"/>
    </row>
    <row r="65" spans="2:8" ht="12.75">
      <c r="B65" s="231"/>
      <c r="C65" s="232"/>
      <c r="D65" s="212"/>
      <c r="G65" s="212"/>
      <c r="H65" s="212"/>
    </row>
    <row r="66" spans="2:8" ht="12.75">
      <c r="B66" s="231"/>
      <c r="C66" s="232"/>
      <c r="D66" s="212"/>
      <c r="G66" s="212"/>
      <c r="H66" s="212"/>
    </row>
    <row r="67" spans="2:8" ht="12.75">
      <c r="B67" s="231"/>
      <c r="C67" s="232"/>
      <c r="D67" s="212"/>
      <c r="G67" s="212"/>
      <c r="H67" s="212"/>
    </row>
    <row r="68" spans="7:8" ht="12.75">
      <c r="G68" s="212"/>
      <c r="H68" s="212"/>
    </row>
    <row r="69" spans="7:8" ht="12.75">
      <c r="G69" s="212"/>
      <c r="H69" s="212"/>
    </row>
    <row r="70" spans="7:8" ht="12.75">
      <c r="G70" s="212"/>
      <c r="H70" s="212"/>
    </row>
    <row r="71" spans="7:8" ht="12.75">
      <c r="G71" s="212"/>
      <c r="H71" s="212"/>
    </row>
    <row r="72" spans="7:8" ht="12.75">
      <c r="G72" s="212"/>
      <c r="H72" s="212"/>
    </row>
  </sheetData>
  <sheetProtection password="E868" sheet="1" objects="1" scenarios="1"/>
  <mergeCells count="3">
    <mergeCell ref="G50:H50"/>
    <mergeCell ref="B4:H4"/>
    <mergeCell ref="E50:F50"/>
  </mergeCells>
  <conditionalFormatting sqref="E39:F39">
    <cfRule type="expression" priority="1" dxfId="2" stopIfTrue="1">
      <formula>SUM(E8:E38)&lt;&gt;100</formula>
    </cfRule>
  </conditionalFormatting>
  <conditionalFormatting sqref="G44:H46 G36:H38 G8:H33">
    <cfRule type="cellIs" priority="2" dxfId="1" operator="greaterThan" stopIfTrue="1">
      <formula>0</formula>
    </cfRule>
  </conditionalFormatting>
  <conditionalFormatting sqref="G61:H61 G52:G53 E60:H60 G55:H58">
    <cfRule type="cellIs" priority="3" dxfId="0" operator="greaterThan" stopIfTrue="1">
      <formula>0</formula>
    </cfRule>
  </conditionalFormatting>
  <printOptions horizontalCentered="1"/>
  <pageMargins left="0.2362204724409449" right="0.2755905511811024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77"/>
  <sheetViews>
    <sheetView showGridLines="0" showZeros="0" zoomScale="88" zoomScaleNormal="88" zoomScalePageLayoutView="0" workbookViewId="0" topLeftCell="A1">
      <selection activeCell="L14" sqref="L14"/>
    </sheetView>
  </sheetViews>
  <sheetFormatPr defaultColWidth="9.140625" defaultRowHeight="12.75"/>
  <cols>
    <col min="2" max="2" width="35.28125" style="0" customWidth="1"/>
    <col min="3" max="3" width="13.57421875" style="27" customWidth="1"/>
    <col min="4" max="4" width="11.57421875" style="28" customWidth="1"/>
    <col min="5" max="6" width="11.7109375" style="28" customWidth="1"/>
    <col min="7" max="7" width="18.421875" style="28" customWidth="1"/>
    <col min="8" max="8" width="18.28125" style="28" customWidth="1"/>
  </cols>
  <sheetData>
    <row r="3" spans="2:7" ht="12.75">
      <c r="B3" s="1"/>
      <c r="C3" s="3"/>
      <c r="D3" s="3"/>
      <c r="E3" s="2"/>
      <c r="F3" s="2"/>
      <c r="G3" s="3"/>
    </row>
    <row r="4" spans="2:8" ht="31.5">
      <c r="B4" s="690" t="s">
        <v>287</v>
      </c>
      <c r="C4" s="690"/>
      <c r="D4" s="690"/>
      <c r="E4" s="690"/>
      <c r="F4" s="690"/>
      <c r="G4" s="690"/>
      <c r="H4" s="690"/>
    </row>
    <row r="5" spans="2:8" ht="24.75" thickBot="1">
      <c r="B5" s="14" t="s">
        <v>16</v>
      </c>
      <c r="C5" s="3"/>
      <c r="D5" s="3"/>
      <c r="E5" s="2"/>
      <c r="F5" s="2"/>
      <c r="G5" s="3"/>
      <c r="H5" s="190" t="s">
        <v>209</v>
      </c>
    </row>
    <row r="6" spans="2:8" ht="38.25">
      <c r="B6" s="54" t="s">
        <v>0</v>
      </c>
      <c r="C6" s="58" t="s">
        <v>69</v>
      </c>
      <c r="D6" s="58" t="s">
        <v>72</v>
      </c>
      <c r="E6" s="59" t="s">
        <v>78</v>
      </c>
      <c r="F6" s="59" t="s">
        <v>79</v>
      </c>
      <c r="G6" s="58" t="s">
        <v>73</v>
      </c>
      <c r="H6" s="60" t="s">
        <v>74</v>
      </c>
    </row>
    <row r="7" spans="2:8" s="61" customFormat="1" ht="15.75">
      <c r="B7" s="65" t="s">
        <v>56</v>
      </c>
      <c r="C7" s="63" t="s">
        <v>70</v>
      </c>
      <c r="D7" s="63" t="s">
        <v>71</v>
      </c>
      <c r="E7" s="66" t="s">
        <v>77</v>
      </c>
      <c r="F7" s="66" t="s">
        <v>77</v>
      </c>
      <c r="G7" s="63" t="s">
        <v>71</v>
      </c>
      <c r="H7" s="64" t="s">
        <v>71</v>
      </c>
    </row>
    <row r="8" spans="2:8" s="61" customFormat="1" ht="15">
      <c r="B8" s="523" t="s">
        <v>291</v>
      </c>
      <c r="C8" s="484">
        <v>1.15</v>
      </c>
      <c r="D8" s="499">
        <v>1.7</v>
      </c>
      <c r="E8" s="503">
        <v>100</v>
      </c>
      <c r="F8" s="273">
        <v>100</v>
      </c>
      <c r="G8" s="443">
        <f aca="true" t="shared" si="0" ref="G8:G33">C8*D8*E8/100</f>
        <v>1.9549999999999996</v>
      </c>
      <c r="H8" s="442">
        <f aca="true" t="shared" si="1" ref="H8:H33">C8*F8*D8/100</f>
        <v>1.9549999999999996</v>
      </c>
    </row>
    <row r="9" spans="2:8" s="61" customFormat="1" ht="15">
      <c r="B9" s="523" t="s">
        <v>292</v>
      </c>
      <c r="C9" s="485">
        <v>1.18</v>
      </c>
      <c r="D9" s="500">
        <v>2.85</v>
      </c>
      <c r="E9" s="503"/>
      <c r="F9" s="273"/>
      <c r="G9" s="443">
        <f t="shared" si="0"/>
        <v>0</v>
      </c>
      <c r="H9" s="442">
        <f t="shared" si="1"/>
        <v>0</v>
      </c>
    </row>
    <row r="10" spans="2:8" ht="12.75">
      <c r="B10" s="523" t="s">
        <v>293</v>
      </c>
      <c r="C10" s="485">
        <v>1.3</v>
      </c>
      <c r="D10" s="500">
        <v>1.8</v>
      </c>
      <c r="E10" s="503"/>
      <c r="F10" s="273"/>
      <c r="G10" s="443">
        <f t="shared" si="0"/>
        <v>0</v>
      </c>
      <c r="H10" s="442">
        <f t="shared" si="1"/>
        <v>0</v>
      </c>
    </row>
    <row r="11" spans="2:8" ht="12.75">
      <c r="B11" s="523" t="s">
        <v>294</v>
      </c>
      <c r="C11" s="485">
        <v>1.45</v>
      </c>
      <c r="D11" s="500">
        <v>3.3</v>
      </c>
      <c r="E11" s="503"/>
      <c r="F11" s="273"/>
      <c r="G11" s="439">
        <f t="shared" si="0"/>
        <v>0</v>
      </c>
      <c r="H11" s="433">
        <f t="shared" si="1"/>
        <v>0</v>
      </c>
    </row>
    <row r="12" spans="2:8" ht="12.75">
      <c r="B12" s="480" t="s">
        <v>295</v>
      </c>
      <c r="C12" s="484">
        <v>1.18</v>
      </c>
      <c r="D12" s="499">
        <v>2</v>
      </c>
      <c r="E12" s="503"/>
      <c r="F12" s="273"/>
      <c r="G12" s="439">
        <f t="shared" si="0"/>
        <v>0</v>
      </c>
      <c r="H12" s="433">
        <f t="shared" si="1"/>
        <v>0</v>
      </c>
    </row>
    <row r="13" spans="2:8" ht="12.75">
      <c r="B13" s="480" t="s">
        <v>296</v>
      </c>
      <c r="C13" s="484">
        <v>1.34</v>
      </c>
      <c r="D13" s="499">
        <v>2</v>
      </c>
      <c r="E13" s="503"/>
      <c r="F13" s="273"/>
      <c r="G13" s="439">
        <f t="shared" si="0"/>
        <v>0</v>
      </c>
      <c r="H13" s="433">
        <f t="shared" si="1"/>
        <v>0</v>
      </c>
    </row>
    <row r="14" spans="2:8" ht="12.75">
      <c r="B14" s="270" t="s">
        <v>120</v>
      </c>
      <c r="C14" s="485">
        <v>1.2</v>
      </c>
      <c r="D14" s="500">
        <v>3.15</v>
      </c>
      <c r="E14" s="503"/>
      <c r="F14" s="273"/>
      <c r="G14" s="439">
        <f t="shared" si="0"/>
        <v>0</v>
      </c>
      <c r="H14" s="433">
        <f t="shared" si="1"/>
        <v>0</v>
      </c>
    </row>
    <row r="15" spans="2:8" ht="12.75">
      <c r="B15" s="523" t="s">
        <v>5</v>
      </c>
      <c r="C15" s="484">
        <v>1.06</v>
      </c>
      <c r="D15" s="545">
        <v>2.95</v>
      </c>
      <c r="E15" s="506"/>
      <c r="F15" s="529"/>
      <c r="G15" s="478">
        <f t="shared" si="0"/>
        <v>0</v>
      </c>
      <c r="H15" s="479">
        <f t="shared" si="1"/>
        <v>0</v>
      </c>
    </row>
    <row r="16" spans="2:8" ht="12.75">
      <c r="B16" s="480" t="s">
        <v>6</v>
      </c>
      <c r="C16" s="485">
        <v>1.08</v>
      </c>
      <c r="D16" s="546">
        <v>3.8</v>
      </c>
      <c r="E16" s="503"/>
      <c r="F16" s="273"/>
      <c r="G16" s="439">
        <f t="shared" si="0"/>
        <v>0</v>
      </c>
      <c r="H16" s="433">
        <f t="shared" si="1"/>
        <v>0</v>
      </c>
    </row>
    <row r="17" spans="2:8" ht="12.75">
      <c r="B17" s="265" t="s">
        <v>263</v>
      </c>
      <c r="C17" s="486">
        <v>1.08</v>
      </c>
      <c r="D17" s="483">
        <v>4.45</v>
      </c>
      <c r="E17" s="503"/>
      <c r="F17" s="273"/>
      <c r="G17" s="439">
        <f t="shared" si="0"/>
        <v>0</v>
      </c>
      <c r="H17" s="433">
        <f t="shared" si="1"/>
        <v>0</v>
      </c>
    </row>
    <row r="18" spans="2:8" ht="12.75">
      <c r="B18" s="270" t="s">
        <v>3</v>
      </c>
      <c r="C18" s="485">
        <v>1.08</v>
      </c>
      <c r="D18" s="500">
        <v>2.7</v>
      </c>
      <c r="E18" s="503"/>
      <c r="F18" s="273"/>
      <c r="G18" s="439">
        <f t="shared" si="0"/>
        <v>0</v>
      </c>
      <c r="H18" s="433">
        <f t="shared" si="1"/>
        <v>0</v>
      </c>
    </row>
    <row r="19" spans="2:8" ht="12.75">
      <c r="B19" s="270" t="s">
        <v>4</v>
      </c>
      <c r="C19" s="485">
        <v>1.1</v>
      </c>
      <c r="D19" s="500">
        <v>3.15</v>
      </c>
      <c r="E19" s="503"/>
      <c r="F19" s="273"/>
      <c r="G19" s="439">
        <f t="shared" si="0"/>
        <v>0</v>
      </c>
      <c r="H19" s="433">
        <f t="shared" si="1"/>
        <v>0</v>
      </c>
    </row>
    <row r="20" spans="2:8" ht="12.75">
      <c r="B20" s="496" t="s">
        <v>264</v>
      </c>
      <c r="C20" s="521">
        <v>1.08</v>
      </c>
      <c r="D20" s="522">
        <v>3.5</v>
      </c>
      <c r="E20" s="503"/>
      <c r="F20" s="273"/>
      <c r="G20" s="439">
        <f t="shared" si="0"/>
        <v>0</v>
      </c>
      <c r="H20" s="433">
        <f t="shared" si="1"/>
        <v>0</v>
      </c>
    </row>
    <row r="21" spans="2:8" ht="12.75">
      <c r="B21" s="363" t="s">
        <v>223</v>
      </c>
      <c r="C21" s="487">
        <v>1.12</v>
      </c>
      <c r="D21" s="501">
        <v>2.95</v>
      </c>
      <c r="E21" s="503"/>
      <c r="F21" s="273"/>
      <c r="G21" s="439">
        <f t="shared" si="0"/>
        <v>0</v>
      </c>
      <c r="H21" s="433">
        <f t="shared" si="1"/>
        <v>0</v>
      </c>
    </row>
    <row r="22" spans="2:8" ht="12.75">
      <c r="B22" s="270" t="s">
        <v>121</v>
      </c>
      <c r="C22" s="485">
        <v>1.06</v>
      </c>
      <c r="D22" s="500">
        <v>2.65</v>
      </c>
      <c r="E22" s="503"/>
      <c r="F22" s="273"/>
      <c r="G22" s="439">
        <f t="shared" si="0"/>
        <v>0</v>
      </c>
      <c r="H22" s="433">
        <f t="shared" si="1"/>
        <v>0</v>
      </c>
    </row>
    <row r="23" spans="2:8" ht="12.75">
      <c r="B23" s="480" t="s">
        <v>285</v>
      </c>
      <c r="C23" s="485">
        <v>1.06</v>
      </c>
      <c r="D23" s="500">
        <v>3.1</v>
      </c>
      <c r="E23" s="503"/>
      <c r="F23" s="273"/>
      <c r="G23" s="439">
        <f t="shared" si="0"/>
        <v>0</v>
      </c>
      <c r="H23" s="433">
        <f t="shared" si="1"/>
        <v>0</v>
      </c>
    </row>
    <row r="24" spans="2:8" ht="12.75">
      <c r="B24" s="480" t="s">
        <v>9</v>
      </c>
      <c r="C24" s="485">
        <v>1.1</v>
      </c>
      <c r="D24" s="425">
        <v>20</v>
      </c>
      <c r="E24" s="503"/>
      <c r="F24" s="273"/>
      <c r="G24" s="439">
        <f t="shared" si="0"/>
        <v>0</v>
      </c>
      <c r="H24" s="433">
        <f t="shared" si="1"/>
        <v>0</v>
      </c>
    </row>
    <row r="25" spans="2:8" ht="12.75">
      <c r="B25" s="480" t="s">
        <v>286</v>
      </c>
      <c r="C25" s="485">
        <v>1.1</v>
      </c>
      <c r="D25" s="425">
        <v>21.5</v>
      </c>
      <c r="E25" s="503"/>
      <c r="F25" s="273"/>
      <c r="G25" s="439">
        <f t="shared" si="0"/>
        <v>0</v>
      </c>
      <c r="H25" s="433">
        <f t="shared" si="1"/>
        <v>0</v>
      </c>
    </row>
    <row r="26" spans="2:8" ht="12.75">
      <c r="B26" s="456" t="s">
        <v>269</v>
      </c>
      <c r="C26" s="488">
        <v>1.15</v>
      </c>
      <c r="D26" s="483">
        <v>10.5</v>
      </c>
      <c r="E26" s="503"/>
      <c r="F26" s="273"/>
      <c r="G26" s="439">
        <f t="shared" si="0"/>
        <v>0</v>
      </c>
      <c r="H26" s="433">
        <f t="shared" si="1"/>
        <v>0</v>
      </c>
    </row>
    <row r="27" spans="2:8" ht="12.75">
      <c r="B27" s="456" t="s">
        <v>270</v>
      </c>
      <c r="C27" s="488">
        <v>1.15</v>
      </c>
      <c r="D27" s="483">
        <v>13.5</v>
      </c>
      <c r="E27" s="503"/>
      <c r="F27" s="273"/>
      <c r="G27" s="444">
        <f t="shared" si="0"/>
        <v>0</v>
      </c>
      <c r="H27" s="445">
        <f t="shared" si="1"/>
        <v>0</v>
      </c>
    </row>
    <row r="28" spans="2:8" ht="12.75">
      <c r="B28" s="480" t="s">
        <v>266</v>
      </c>
      <c r="C28" s="486">
        <v>1.12</v>
      </c>
      <c r="D28" s="483">
        <v>4</v>
      </c>
      <c r="E28" s="503"/>
      <c r="F28" s="273"/>
      <c r="G28" s="444">
        <f>C28*D28*E28/100</f>
        <v>0</v>
      </c>
      <c r="H28" s="445">
        <f>C28*F28*D28/100</f>
        <v>0</v>
      </c>
    </row>
    <row r="29" spans="2:8" ht="12.75">
      <c r="B29" s="480" t="s">
        <v>7</v>
      </c>
      <c r="C29" s="485">
        <v>1.15</v>
      </c>
      <c r="D29" s="500">
        <v>10.3</v>
      </c>
      <c r="E29" s="506"/>
      <c r="F29" s="529"/>
      <c r="G29" s="444">
        <f>C29*D29*E29/100</f>
        <v>0</v>
      </c>
      <c r="H29" s="445">
        <f>C29*F29*D29/100</f>
        <v>0</v>
      </c>
    </row>
    <row r="30" spans="2:8" ht="12.75">
      <c r="B30" s="480" t="s">
        <v>8</v>
      </c>
      <c r="C30" s="485">
        <v>1.15</v>
      </c>
      <c r="D30" s="500">
        <v>11.5</v>
      </c>
      <c r="E30" s="503"/>
      <c r="F30" s="273"/>
      <c r="G30" s="439">
        <f t="shared" si="0"/>
        <v>0</v>
      </c>
      <c r="H30" s="433">
        <f t="shared" si="1"/>
        <v>0</v>
      </c>
    </row>
    <row r="31" spans="2:8" ht="12.75">
      <c r="B31" s="329" t="s">
        <v>272</v>
      </c>
      <c r="C31" s="359">
        <v>1.03</v>
      </c>
      <c r="D31" s="502">
        <v>5</v>
      </c>
      <c r="E31" s="503"/>
      <c r="F31" s="273"/>
      <c r="G31" s="439">
        <f t="shared" si="0"/>
        <v>0</v>
      </c>
      <c r="H31" s="433">
        <f t="shared" si="1"/>
        <v>0</v>
      </c>
    </row>
    <row r="32" spans="2:8" ht="12.75">
      <c r="B32" s="322" t="s">
        <v>265</v>
      </c>
      <c r="C32" s="497">
        <v>1.08</v>
      </c>
      <c r="D32" s="498">
        <v>8</v>
      </c>
      <c r="E32" s="503"/>
      <c r="F32" s="273"/>
      <c r="G32" s="439">
        <f t="shared" si="0"/>
        <v>0</v>
      </c>
      <c r="H32" s="433">
        <f t="shared" si="1"/>
        <v>0</v>
      </c>
    </row>
    <row r="33" spans="2:8" ht="13.5" thickBot="1">
      <c r="B33" s="315" t="s">
        <v>224</v>
      </c>
      <c r="C33" s="487">
        <v>1.15</v>
      </c>
      <c r="D33" s="501">
        <v>5</v>
      </c>
      <c r="E33" s="503"/>
      <c r="F33" s="273"/>
      <c r="G33" s="439">
        <f t="shared" si="0"/>
        <v>0</v>
      </c>
      <c r="H33" s="433">
        <f t="shared" si="1"/>
        <v>0</v>
      </c>
    </row>
    <row r="34" spans="2:8" ht="18">
      <c r="B34" s="15" t="s">
        <v>18</v>
      </c>
      <c r="C34" s="26"/>
      <c r="D34" s="29"/>
      <c r="E34" s="233"/>
      <c r="F34" s="234"/>
      <c r="G34" s="414">
        <f>SUM(G8:G33)</f>
        <v>1.9549999999999996</v>
      </c>
      <c r="H34" s="406">
        <f>SUM(H8:H33)</f>
        <v>1.9549999999999996</v>
      </c>
    </row>
    <row r="35" spans="2:8" ht="12.75">
      <c r="B35" s="6" t="s">
        <v>57</v>
      </c>
      <c r="C35" s="4"/>
      <c r="D35" s="4"/>
      <c r="E35" s="235"/>
      <c r="F35" s="235"/>
      <c r="G35" s="4"/>
      <c r="H35" s="7"/>
    </row>
    <row r="36" spans="2:8" ht="12.75">
      <c r="B36" s="263" t="s">
        <v>122</v>
      </c>
      <c r="C36" s="264">
        <v>1.01</v>
      </c>
      <c r="D36" s="504">
        <v>10</v>
      </c>
      <c r="E36" s="503"/>
      <c r="F36" s="274"/>
      <c r="G36" s="13">
        <f>C36*D36*E36/100</f>
        <v>0</v>
      </c>
      <c r="H36" s="9">
        <f>C36*F36*D36/100</f>
        <v>0</v>
      </c>
    </row>
    <row r="37" spans="2:8" ht="12.75">
      <c r="B37" s="270" t="s">
        <v>123</v>
      </c>
      <c r="C37" s="271">
        <v>1.01</v>
      </c>
      <c r="D37" s="425">
        <v>10</v>
      </c>
      <c r="E37" s="503"/>
      <c r="F37" s="274"/>
      <c r="G37" s="13">
        <f>C37*D37*E37/100</f>
        <v>0</v>
      </c>
      <c r="H37" s="9">
        <f>C37*F37*D37/100</f>
        <v>0</v>
      </c>
    </row>
    <row r="38" spans="2:8" ht="13.5" thickBot="1">
      <c r="B38" s="275" t="s">
        <v>124</v>
      </c>
      <c r="C38" s="276">
        <v>1.01</v>
      </c>
      <c r="D38" s="505">
        <v>20</v>
      </c>
      <c r="E38" s="547"/>
      <c r="F38" s="274"/>
      <c r="G38" s="13">
        <f>C38*D38*E38/100</f>
        <v>0</v>
      </c>
      <c r="H38" s="9">
        <f>C38*F38*D38/100</f>
        <v>0</v>
      </c>
    </row>
    <row r="39" spans="2:8" ht="19.5" thickBot="1">
      <c r="B39" s="16" t="s">
        <v>58</v>
      </c>
      <c r="C39" s="17"/>
      <c r="D39" s="30"/>
      <c r="E39" s="239"/>
      <c r="F39" s="239"/>
      <c r="G39" s="18">
        <f>SUM(G36:G38)</f>
        <v>0</v>
      </c>
      <c r="H39" s="19">
        <f>SUM(H36:H38)</f>
        <v>0</v>
      </c>
    </row>
    <row r="40" spans="2:8" ht="18.75" thickBot="1">
      <c r="B40" s="16" t="s">
        <v>19</v>
      </c>
      <c r="C40" s="17"/>
      <c r="D40" s="30"/>
      <c r="E40" s="17"/>
      <c r="F40" s="12"/>
      <c r="G40" s="407">
        <f>G39+G34</f>
        <v>1.9549999999999996</v>
      </c>
      <c r="H40" s="408">
        <f>H39+H34</f>
        <v>1.9549999999999996</v>
      </c>
    </row>
    <row r="41" spans="1:8" ht="29.25" customHeight="1" thickBot="1">
      <c r="A41" s="1"/>
      <c r="B41" s="14" t="s">
        <v>17</v>
      </c>
      <c r="C41" s="3"/>
      <c r="D41" s="31"/>
      <c r="E41" s="31"/>
      <c r="F41" s="31"/>
      <c r="G41" s="31"/>
      <c r="H41" s="31"/>
    </row>
    <row r="42" spans="2:8" ht="38.25">
      <c r="B42" s="21"/>
      <c r="C42" s="5" t="s">
        <v>25</v>
      </c>
      <c r="D42" s="23" t="s">
        <v>28</v>
      </c>
      <c r="E42" s="23" t="s">
        <v>26</v>
      </c>
      <c r="F42" s="23" t="s">
        <v>27</v>
      </c>
      <c r="G42" s="23" t="s">
        <v>26</v>
      </c>
      <c r="H42" s="23" t="s">
        <v>27</v>
      </c>
    </row>
    <row r="43" spans="2:8" ht="12.75">
      <c r="B43" s="6" t="s">
        <v>22</v>
      </c>
      <c r="C43" s="4"/>
      <c r="D43" s="4"/>
      <c r="E43" s="4"/>
      <c r="F43" s="4"/>
      <c r="G43" s="4"/>
      <c r="H43" s="7"/>
    </row>
    <row r="44" spans="2:8" ht="12.75">
      <c r="B44" s="322" t="s">
        <v>40</v>
      </c>
      <c r="C44" s="264"/>
      <c r="D44" s="536"/>
      <c r="E44" s="503">
        <v>52</v>
      </c>
      <c r="F44" s="274">
        <v>52</v>
      </c>
      <c r="G44" s="13"/>
      <c r="H44" s="9"/>
    </row>
    <row r="45" spans="2:8" ht="12.75">
      <c r="B45" s="270" t="s">
        <v>75</v>
      </c>
      <c r="C45" s="271">
        <v>3.25</v>
      </c>
      <c r="D45" s="515"/>
      <c r="E45" s="548" t="s">
        <v>12</v>
      </c>
      <c r="F45" s="346" t="s">
        <v>12</v>
      </c>
      <c r="G45" s="13">
        <f>IF(E45="X",$E$44*C45,0)/100</f>
        <v>1.69</v>
      </c>
      <c r="H45" s="9">
        <f>+IF(F45="X",$F$44*C45,0)/100</f>
        <v>1.69</v>
      </c>
    </row>
    <row r="46" spans="2:8" ht="13.5" thickBot="1">
      <c r="B46" s="275" t="s">
        <v>76</v>
      </c>
      <c r="C46" s="450">
        <f>0.9/14/1.693</f>
        <v>0.03797147920006751</v>
      </c>
      <c r="D46" s="516" t="s">
        <v>20</v>
      </c>
      <c r="E46" s="544" t="s">
        <v>235</v>
      </c>
      <c r="F46" s="320" t="s">
        <v>235</v>
      </c>
      <c r="G46" s="13">
        <f>IF(E46="X",$E$44*C46,0)/2</f>
        <v>0.9872584592017551</v>
      </c>
      <c r="H46" s="9">
        <f>IF(F46="X",$F$44*C46,0)/2</f>
        <v>0.9872584592017551</v>
      </c>
    </row>
    <row r="47" spans="2:8" ht="18.75" thickBot="1">
      <c r="B47" s="16" t="s">
        <v>59</v>
      </c>
      <c r="C47" s="17"/>
      <c r="D47" s="30"/>
      <c r="E47" s="17"/>
      <c r="F47" s="12"/>
      <c r="G47" s="407">
        <f>SUM(G45:G46)</f>
        <v>2.677258459201755</v>
      </c>
      <c r="H47" s="408">
        <f>SUM(H45:H46)</f>
        <v>2.677258459201755</v>
      </c>
    </row>
    <row r="48" spans="2:8" ht="18.75" thickBot="1">
      <c r="B48" s="16" t="s">
        <v>60</v>
      </c>
      <c r="C48" s="17"/>
      <c r="D48" s="30"/>
      <c r="E48" s="17"/>
      <c r="F48" s="12"/>
      <c r="G48" s="407">
        <f>G47+G40</f>
        <v>4.632258459201754</v>
      </c>
      <c r="H48" s="408">
        <f>H47+H40</f>
        <v>4.632258459201754</v>
      </c>
    </row>
    <row r="49" spans="1:8" ht="37.5" customHeight="1" thickBot="1">
      <c r="A49" s="1"/>
      <c r="B49" s="14" t="s">
        <v>52</v>
      </c>
      <c r="C49" s="3"/>
      <c r="D49" s="31"/>
      <c r="E49" s="3"/>
      <c r="F49" s="3"/>
      <c r="G49" s="20"/>
      <c r="H49" s="20"/>
    </row>
    <row r="50" spans="1:8" ht="45.75" customHeight="1">
      <c r="A50" s="1"/>
      <c r="B50" s="68" t="s">
        <v>11</v>
      </c>
      <c r="C50" s="5" t="s">
        <v>25</v>
      </c>
      <c r="D50" s="23" t="s">
        <v>28</v>
      </c>
      <c r="E50" s="687" t="s">
        <v>87</v>
      </c>
      <c r="F50" s="687"/>
      <c r="G50" s="688" t="s">
        <v>31</v>
      </c>
      <c r="H50" s="689"/>
    </row>
    <row r="51" spans="2:8" s="61" customFormat="1" ht="15.75">
      <c r="B51" s="57" t="s">
        <v>29</v>
      </c>
      <c r="C51" s="62"/>
      <c r="D51" s="55"/>
      <c r="E51" s="55"/>
      <c r="F51" s="55"/>
      <c r="G51" s="55" t="s">
        <v>15</v>
      </c>
      <c r="H51" s="56" t="s">
        <v>14</v>
      </c>
    </row>
    <row r="52" spans="2:8" ht="12.75">
      <c r="B52" s="10" t="s">
        <v>89</v>
      </c>
      <c r="C52" s="11"/>
      <c r="D52" s="24"/>
      <c r="E52" s="22">
        <f>(E64*1.05-E53)</f>
        <v>22.18269230769232</v>
      </c>
      <c r="F52" s="9"/>
      <c r="G52" s="13">
        <f>G48*E52/1000</f>
        <v>0.10275596409017743</v>
      </c>
      <c r="H52" s="9">
        <f>G52*1000/$E$64</f>
        <v>0.32111238778180445</v>
      </c>
    </row>
    <row r="53" spans="2:8" ht="13.5" thickBot="1">
      <c r="B53" s="10" t="s">
        <v>90</v>
      </c>
      <c r="C53" s="11"/>
      <c r="D53" s="24"/>
      <c r="E53" s="22">
        <f>E56*E63*1.15/F44*IF(F46="X",2,1)*IF(E67="X",1.2,1.1)</f>
        <v>313.8173076923077</v>
      </c>
      <c r="F53" s="9"/>
      <c r="G53" s="13">
        <f>H48*E53/1000</f>
        <v>1.4536828782016118</v>
      </c>
      <c r="H53" s="9">
        <f>G53*1000/$E$64</f>
        <v>4.542758994380037</v>
      </c>
    </row>
    <row r="54" spans="2:8" ht="18.75" thickBot="1">
      <c r="B54" s="16" t="s">
        <v>23</v>
      </c>
      <c r="C54" s="17"/>
      <c r="D54" s="30"/>
      <c r="E54" s="17"/>
      <c r="F54" s="12"/>
      <c r="G54" s="415">
        <f>SUM(G52:G53)</f>
        <v>1.5564388422917892</v>
      </c>
      <c r="H54" s="412">
        <f>SUM(H52:H53)</f>
        <v>4.863871382161841</v>
      </c>
    </row>
    <row r="55" spans="2:8" ht="12.75">
      <c r="B55" s="8" t="s">
        <v>66</v>
      </c>
      <c r="C55" s="70">
        <v>0.8</v>
      </c>
      <c r="D55" s="24"/>
      <c r="E55" s="35"/>
      <c r="F55" s="9"/>
      <c r="G55" s="13">
        <f>IF(E46&lt;&gt;"X",E52*C55,0)/1000</f>
        <v>0</v>
      </c>
      <c r="H55" s="9">
        <f>G55*1000/$E$64</f>
        <v>0</v>
      </c>
    </row>
    <row r="56" spans="2:8" ht="13.5" thickBot="1">
      <c r="B56" s="326" t="s">
        <v>67</v>
      </c>
      <c r="C56" s="294">
        <v>1</v>
      </c>
      <c r="D56" s="327"/>
      <c r="E56" s="296">
        <v>43</v>
      </c>
      <c r="F56" s="328"/>
      <c r="G56" s="13">
        <f>E56*C56/100/(IF(E63&lt;90,INT(90/E63),1))</f>
        <v>0.43</v>
      </c>
      <c r="H56" s="9">
        <f>G56*1000/$E$64</f>
        <v>1.34375</v>
      </c>
    </row>
    <row r="57" spans="2:8" ht="18.75" thickBot="1">
      <c r="B57" s="16" t="s">
        <v>24</v>
      </c>
      <c r="C57" s="17"/>
      <c r="D57" s="30"/>
      <c r="E57" s="17"/>
      <c r="F57" s="12"/>
      <c r="G57" s="415">
        <f>G56+G55</f>
        <v>0.43</v>
      </c>
      <c r="H57" s="412">
        <f>H56+H55</f>
        <v>1.34375</v>
      </c>
    </row>
    <row r="58" spans="2:8" ht="18.75" thickBot="1">
      <c r="B58" s="16" t="s">
        <v>68</v>
      </c>
      <c r="C58" s="17"/>
      <c r="D58" s="30"/>
      <c r="E58" s="17"/>
      <c r="F58" s="12"/>
      <c r="G58" s="415">
        <f>G57+G54</f>
        <v>1.9864388422917891</v>
      </c>
      <c r="H58" s="412">
        <f>H57+H54</f>
        <v>6.207621382161841</v>
      </c>
    </row>
    <row r="59" spans="2:8" s="1" customFormat="1" ht="18.75">
      <c r="B59" s="25"/>
      <c r="C59" s="3"/>
      <c r="D59" s="31"/>
      <c r="E59" s="3"/>
      <c r="F59" s="3"/>
      <c r="G59" s="20"/>
      <c r="H59" s="20"/>
    </row>
    <row r="60" spans="2:8" ht="21" thickBot="1">
      <c r="B60" s="14" t="s">
        <v>53</v>
      </c>
      <c r="C60" s="3"/>
      <c r="D60" s="31"/>
      <c r="E60" s="3"/>
      <c r="F60" s="3"/>
      <c r="G60" s="20"/>
      <c r="H60" s="20"/>
    </row>
    <row r="61" spans="2:8" ht="25.5">
      <c r="B61" s="68" t="s">
        <v>11</v>
      </c>
      <c r="C61" s="5" t="s">
        <v>240</v>
      </c>
      <c r="D61" s="23" t="s">
        <v>28</v>
      </c>
      <c r="E61" s="23" t="s">
        <v>32</v>
      </c>
      <c r="F61" s="23"/>
      <c r="G61" s="688" t="s">
        <v>31</v>
      </c>
      <c r="H61" s="689"/>
    </row>
    <row r="62" spans="2:8" s="61" customFormat="1" ht="15.75">
      <c r="B62" s="57" t="s">
        <v>95</v>
      </c>
      <c r="C62" s="62"/>
      <c r="D62" s="62"/>
      <c r="E62" s="62"/>
      <c r="F62" s="62"/>
      <c r="G62" s="55" t="s">
        <v>15</v>
      </c>
      <c r="H62" s="56" t="s">
        <v>14</v>
      </c>
    </row>
    <row r="63" spans="2:8" ht="12.75">
      <c r="B63" s="340" t="s">
        <v>91</v>
      </c>
      <c r="C63" s="264"/>
      <c r="D63" s="351"/>
      <c r="E63" s="361">
        <v>150</v>
      </c>
      <c r="F63" s="334"/>
      <c r="G63" s="32"/>
      <c r="H63" s="24"/>
    </row>
    <row r="64" spans="2:8" ht="12.75">
      <c r="B64" s="341" t="s">
        <v>92</v>
      </c>
      <c r="C64" s="271"/>
      <c r="D64" s="352"/>
      <c r="E64" s="312">
        <v>320</v>
      </c>
      <c r="F64" s="335"/>
      <c r="G64" s="32"/>
      <c r="H64" s="24"/>
    </row>
    <row r="65" spans="2:8" ht="12.75">
      <c r="B65" s="33" t="s">
        <v>41</v>
      </c>
      <c r="C65" s="343" t="s">
        <v>37</v>
      </c>
      <c r="D65" s="31"/>
      <c r="E65" s="311"/>
      <c r="F65" s="9"/>
      <c r="G65" s="32"/>
      <c r="H65" s="24"/>
    </row>
    <row r="66" spans="2:8" ht="12.75">
      <c r="B66" s="288" t="s">
        <v>233</v>
      </c>
      <c r="C66" s="310">
        <v>0.2</v>
      </c>
      <c r="D66" s="352" t="s">
        <v>20</v>
      </c>
      <c r="E66" s="460">
        <f>IF(SUM($E$36:$E$38)&gt;0,"X","")</f>
      </c>
      <c r="F66" s="335"/>
      <c r="G66" s="13">
        <f>$G$58*IF(E66="x",C66,0)</f>
        <v>0</v>
      </c>
      <c r="H66" s="9">
        <f aca="true" t="shared" si="2" ref="H66:H73">G66*1000/$E$64</f>
        <v>0</v>
      </c>
    </row>
    <row r="67" spans="2:8" ht="12.75">
      <c r="B67" s="288" t="s">
        <v>234</v>
      </c>
      <c r="C67" s="310">
        <v>0.1</v>
      </c>
      <c r="D67" s="352" t="s">
        <v>20</v>
      </c>
      <c r="E67" s="460">
        <f>IF(SUM($F$36:$F$38)&gt;0,"X","")</f>
      </c>
      <c r="F67" s="335"/>
      <c r="G67" s="13">
        <f>IF(G66=0,$G$58*IF(E67="x",C67,0),0)</f>
        <v>0</v>
      </c>
      <c r="H67" s="9">
        <f t="shared" si="2"/>
        <v>0</v>
      </c>
    </row>
    <row r="68" spans="2:8" ht="12.75">
      <c r="B68" s="341" t="s">
        <v>38</v>
      </c>
      <c r="C68" s="310">
        <v>0.07</v>
      </c>
      <c r="D68" s="352" t="s">
        <v>20</v>
      </c>
      <c r="E68" s="312" t="s">
        <v>12</v>
      </c>
      <c r="F68" s="335"/>
      <c r="G68" s="13">
        <f>$G$58*IF(E68="x",C68,0)*IF($G$67+$G$66&gt;0,0,1)</f>
        <v>0.13905071896042526</v>
      </c>
      <c r="H68" s="9">
        <f t="shared" si="2"/>
        <v>0.4345334967513289</v>
      </c>
    </row>
    <row r="69" spans="2:8" ht="12.75">
      <c r="B69" s="341" t="s">
        <v>39</v>
      </c>
      <c r="C69" s="310">
        <v>0.05</v>
      </c>
      <c r="D69" s="352" t="s">
        <v>20</v>
      </c>
      <c r="E69" s="312"/>
      <c r="F69" s="335"/>
      <c r="G69" s="13">
        <f>$G$58*IF(E69="x",C69,0)*IF($G$67+$G$66&gt;0,0,1)</f>
        <v>0</v>
      </c>
      <c r="H69" s="9">
        <f t="shared" si="2"/>
        <v>0</v>
      </c>
    </row>
    <row r="70" spans="2:8" ht="12.75">
      <c r="B70" s="33"/>
      <c r="C70" s="343"/>
      <c r="D70" s="31"/>
      <c r="E70" s="311"/>
      <c r="F70" s="9"/>
      <c r="G70" s="32"/>
      <c r="H70" s="9">
        <f t="shared" si="2"/>
        <v>0</v>
      </c>
    </row>
    <row r="71" spans="2:8" ht="12.75">
      <c r="B71" s="33" t="s">
        <v>251</v>
      </c>
      <c r="C71" s="343"/>
      <c r="D71" s="31"/>
      <c r="E71" s="311"/>
      <c r="F71" s="9"/>
      <c r="G71" s="32"/>
      <c r="H71" s="9">
        <f t="shared" si="2"/>
        <v>0</v>
      </c>
    </row>
    <row r="72" spans="2:8" ht="12.75">
      <c r="B72" s="342" t="s">
        <v>249</v>
      </c>
      <c r="C72" s="271">
        <v>1</v>
      </c>
      <c r="D72" s="352" t="s">
        <v>20</v>
      </c>
      <c r="E72" s="312"/>
      <c r="F72" s="335"/>
      <c r="G72" s="13">
        <f>IF(E72="x",C72,0)/(IF(E63&lt;90,INT(90/E63),1))</f>
        <v>0</v>
      </c>
      <c r="H72" s="9">
        <f t="shared" si="2"/>
        <v>0</v>
      </c>
    </row>
    <row r="73" spans="2:8" ht="12.75">
      <c r="B73" s="342" t="s">
        <v>93</v>
      </c>
      <c r="C73" s="271">
        <v>0.45</v>
      </c>
      <c r="D73" s="352" t="s">
        <v>20</v>
      </c>
      <c r="E73" s="312" t="s">
        <v>12</v>
      </c>
      <c r="F73" s="335"/>
      <c r="G73" s="13">
        <f>IF(E73="x",C73,0)/(IF(E63&lt;90,INT(90/E63),1))</f>
        <v>0.45</v>
      </c>
      <c r="H73" s="9">
        <f t="shared" si="2"/>
        <v>1.40625</v>
      </c>
    </row>
    <row r="74" spans="2:8" ht="13.5" thickBot="1">
      <c r="B74" s="10"/>
      <c r="C74" s="345"/>
      <c r="D74" s="31"/>
      <c r="E74" s="362"/>
      <c r="F74" s="9"/>
      <c r="G74" s="13"/>
      <c r="H74" s="9"/>
    </row>
    <row r="75" spans="2:8" ht="18.75" thickBot="1">
      <c r="B75" s="16" t="s">
        <v>33</v>
      </c>
      <c r="C75" s="17"/>
      <c r="D75" s="30"/>
      <c r="E75" s="17"/>
      <c r="F75" s="12"/>
      <c r="G75" s="415">
        <f>SUM(G63:G74)</f>
        <v>0.5890507189604253</v>
      </c>
      <c r="H75" s="412">
        <f>SUM(H63:H74)</f>
        <v>1.840783496751329</v>
      </c>
    </row>
    <row r="76" spans="2:8" ht="18.75" thickBot="1">
      <c r="B76" s="16" t="s">
        <v>94</v>
      </c>
      <c r="C76" s="17"/>
      <c r="D76" s="30"/>
      <c r="E76" s="17"/>
      <c r="F76" s="12"/>
      <c r="G76" s="415">
        <f>G75+G58</f>
        <v>2.5754895612522146</v>
      </c>
      <c r="H76" s="412">
        <f>H75+H58</f>
        <v>8.048404878913171</v>
      </c>
    </row>
    <row r="77" ht="12.75">
      <c r="F77" s="3"/>
    </row>
  </sheetData>
  <sheetProtection password="E868" sheet="1" objects="1" scenarios="1"/>
  <mergeCells count="4">
    <mergeCell ref="G61:H61"/>
    <mergeCell ref="B4:H4"/>
    <mergeCell ref="E50:F50"/>
    <mergeCell ref="G50:H50"/>
  </mergeCells>
  <conditionalFormatting sqref="E39:F39">
    <cfRule type="expression" priority="1" dxfId="2" stopIfTrue="1">
      <formula>SUM(E10:E38)&lt;&gt;100</formula>
    </cfRule>
  </conditionalFormatting>
  <conditionalFormatting sqref="G44:H46 G36:H38 G8:H33">
    <cfRule type="cellIs" priority="2" dxfId="1" operator="greaterThan" stopIfTrue="1">
      <formula>0</formula>
    </cfRule>
  </conditionalFormatting>
  <conditionalFormatting sqref="G56:H56 F55:H55 G52:H53 G72:G74 G63:G64 H68:H74 G66:H67 G68:G69">
    <cfRule type="cellIs" priority="3" dxfId="0" operator="greaterThan" stopIfTrue="1">
      <formula>0</formula>
    </cfRule>
  </conditionalFormatting>
  <printOptions horizontalCentered="1"/>
  <pageMargins left="0.2362204724409449" right="0.2755905511811024" top="0.4724409448818898" bottom="0.2362204724409449" header="0.35433070866141736" footer="0.2362204724409449"/>
  <pageSetup horizontalDpi="300" verticalDpi="3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showGridLines="0" showZeros="0" zoomScale="94" zoomScaleNormal="94" zoomScalePageLayoutView="0" workbookViewId="0" topLeftCell="B1">
      <selection activeCell="E24" sqref="E24"/>
    </sheetView>
  </sheetViews>
  <sheetFormatPr defaultColWidth="9.140625" defaultRowHeight="12.75"/>
  <cols>
    <col min="2" max="2" width="30.7109375" style="0" bestFit="1" customWidth="1"/>
    <col min="3" max="3" width="16.00390625" style="27" customWidth="1"/>
    <col min="4" max="4" width="11.57421875" style="28" customWidth="1"/>
    <col min="5" max="6" width="11.7109375" style="28" customWidth="1"/>
    <col min="7" max="8" width="16.140625" style="28" bestFit="1" customWidth="1"/>
  </cols>
  <sheetData>
    <row r="3" spans="2:7" ht="12.75">
      <c r="B3" s="1"/>
      <c r="C3" s="3"/>
      <c r="D3" s="3"/>
      <c r="E3" s="2"/>
      <c r="F3" s="2"/>
      <c r="G3" s="3"/>
    </row>
    <row r="4" spans="2:8" ht="27">
      <c r="B4" s="691" t="s">
        <v>55</v>
      </c>
      <c r="C4" s="691"/>
      <c r="D4" s="691"/>
      <c r="E4" s="691"/>
      <c r="F4" s="691"/>
      <c r="G4" s="691"/>
      <c r="H4" s="691"/>
    </row>
    <row r="5" spans="2:8" ht="24.75" thickBot="1">
      <c r="B5" s="14" t="s">
        <v>16</v>
      </c>
      <c r="C5" s="3"/>
      <c r="D5" s="3"/>
      <c r="E5" s="2"/>
      <c r="F5" s="2"/>
      <c r="G5" s="3"/>
      <c r="H5" s="190" t="s">
        <v>210</v>
      </c>
    </row>
    <row r="6" spans="2:8" ht="42" customHeight="1">
      <c r="B6" s="54" t="s">
        <v>0</v>
      </c>
      <c r="C6" s="58" t="s">
        <v>69</v>
      </c>
      <c r="D6" s="58" t="s">
        <v>72</v>
      </c>
      <c r="E6" s="59" t="s">
        <v>78</v>
      </c>
      <c r="F6" s="59" t="s">
        <v>79</v>
      </c>
      <c r="G6" s="58" t="s">
        <v>73</v>
      </c>
      <c r="H6" s="60" t="s">
        <v>74</v>
      </c>
    </row>
    <row r="7" spans="2:8" ht="15.75">
      <c r="B7" s="65" t="s">
        <v>80</v>
      </c>
      <c r="C7" s="63" t="s">
        <v>70</v>
      </c>
      <c r="D7" s="63" t="s">
        <v>71</v>
      </c>
      <c r="E7" s="66" t="s">
        <v>77</v>
      </c>
      <c r="F7" s="66" t="s">
        <v>77</v>
      </c>
      <c r="G7" s="63" t="s">
        <v>71</v>
      </c>
      <c r="H7" s="64" t="s">
        <v>71</v>
      </c>
    </row>
    <row r="8" spans="2:8" ht="12.75">
      <c r="B8" s="523" t="s">
        <v>291</v>
      </c>
      <c r="C8" s="484">
        <v>1.15</v>
      </c>
      <c r="D8" s="499">
        <v>1.7</v>
      </c>
      <c r="E8" s="503">
        <v>15</v>
      </c>
      <c r="F8" s="273"/>
      <c r="G8" s="443">
        <f>C8*D8*E8/100</f>
        <v>0.29325</v>
      </c>
      <c r="H8" s="442">
        <f>C8*F8*D8/100</f>
        <v>0</v>
      </c>
    </row>
    <row r="9" spans="2:8" ht="12.75">
      <c r="B9" s="523" t="s">
        <v>292</v>
      </c>
      <c r="C9" s="485">
        <v>1.18</v>
      </c>
      <c r="D9" s="500">
        <v>2.85</v>
      </c>
      <c r="E9" s="503">
        <v>20</v>
      </c>
      <c r="F9" s="273">
        <v>30</v>
      </c>
      <c r="G9" s="443">
        <f>C9*D9*E9/100</f>
        <v>0.6726000000000001</v>
      </c>
      <c r="H9" s="442">
        <f>C9*F9*D9/100</f>
        <v>1.0089</v>
      </c>
    </row>
    <row r="10" spans="2:8" ht="12.75">
      <c r="B10" s="523" t="s">
        <v>293</v>
      </c>
      <c r="C10" s="485">
        <v>1.3</v>
      </c>
      <c r="D10" s="500">
        <v>1.8</v>
      </c>
      <c r="E10" s="503"/>
      <c r="F10" s="273">
        <v>30</v>
      </c>
      <c r="G10" s="443">
        <f aca="true" t="shared" si="0" ref="G10:G26">C10*D10*E10/100</f>
        <v>0</v>
      </c>
      <c r="H10" s="442">
        <f aca="true" t="shared" si="1" ref="H10:H26">C10*F10*D10/100</f>
        <v>0.7020000000000001</v>
      </c>
    </row>
    <row r="11" spans="2:8" ht="12.75">
      <c r="B11" s="523" t="s">
        <v>294</v>
      </c>
      <c r="C11" s="485">
        <v>1.45</v>
      </c>
      <c r="D11" s="500">
        <v>3.3</v>
      </c>
      <c r="E11" s="503">
        <v>25</v>
      </c>
      <c r="F11" s="273"/>
      <c r="G11" s="443">
        <f t="shared" si="0"/>
        <v>1.1962499999999998</v>
      </c>
      <c r="H11" s="442">
        <f t="shared" si="1"/>
        <v>0</v>
      </c>
    </row>
    <row r="12" spans="2:8" ht="12.75">
      <c r="B12" s="480" t="s">
        <v>295</v>
      </c>
      <c r="C12" s="484">
        <v>1.18</v>
      </c>
      <c r="D12" s="499">
        <v>2</v>
      </c>
      <c r="E12" s="503"/>
      <c r="F12" s="273"/>
      <c r="G12" s="443">
        <f t="shared" si="0"/>
        <v>0</v>
      </c>
      <c r="H12" s="442">
        <f t="shared" si="1"/>
        <v>0</v>
      </c>
    </row>
    <row r="13" spans="2:8" ht="12.75">
      <c r="B13" s="480" t="s">
        <v>296</v>
      </c>
      <c r="C13" s="484">
        <v>1.34</v>
      </c>
      <c r="D13" s="499">
        <v>2</v>
      </c>
      <c r="E13" s="503"/>
      <c r="F13" s="273"/>
      <c r="G13" s="443">
        <f>C13*D13*E13/100</f>
        <v>0</v>
      </c>
      <c r="H13" s="442">
        <f>C13*F13*D13/100</f>
        <v>0</v>
      </c>
    </row>
    <row r="14" spans="2:8" ht="12.75">
      <c r="B14" s="270" t="s">
        <v>120</v>
      </c>
      <c r="C14" s="485">
        <v>1.2</v>
      </c>
      <c r="D14" s="500">
        <v>3.15</v>
      </c>
      <c r="E14" s="503"/>
      <c r="F14" s="273"/>
      <c r="G14" s="443">
        <f>C14*D14*E14/100</f>
        <v>0</v>
      </c>
      <c r="H14" s="442">
        <f t="shared" si="1"/>
        <v>0</v>
      </c>
    </row>
    <row r="15" spans="2:8" ht="12.75">
      <c r="B15" s="270" t="s">
        <v>108</v>
      </c>
      <c r="C15" s="485">
        <v>1.03</v>
      </c>
      <c r="D15" s="500">
        <v>1.7</v>
      </c>
      <c r="E15" s="503"/>
      <c r="F15" s="273"/>
      <c r="G15" s="443">
        <f t="shared" si="0"/>
        <v>0</v>
      </c>
      <c r="H15" s="442">
        <f t="shared" si="1"/>
        <v>0</v>
      </c>
    </row>
    <row r="16" spans="2:8" ht="12.75">
      <c r="B16" s="270" t="s">
        <v>1</v>
      </c>
      <c r="C16" s="485">
        <v>1.05</v>
      </c>
      <c r="D16" s="500">
        <v>2.1</v>
      </c>
      <c r="E16" s="503"/>
      <c r="F16" s="273"/>
      <c r="G16" s="443">
        <f t="shared" si="0"/>
        <v>0</v>
      </c>
      <c r="H16" s="442">
        <f t="shared" si="1"/>
        <v>0</v>
      </c>
    </row>
    <row r="17" spans="2:8" ht="12.75">
      <c r="B17" s="265" t="s">
        <v>263</v>
      </c>
      <c r="C17" s="486">
        <v>1.08</v>
      </c>
      <c r="D17" s="483">
        <v>4.45</v>
      </c>
      <c r="E17" s="503"/>
      <c r="F17" s="273"/>
      <c r="G17" s="443">
        <f t="shared" si="0"/>
        <v>0</v>
      </c>
      <c r="H17" s="442">
        <f t="shared" si="1"/>
        <v>0</v>
      </c>
    </row>
    <row r="18" spans="2:8" ht="12.75">
      <c r="B18" s="270" t="s">
        <v>3</v>
      </c>
      <c r="C18" s="485">
        <v>1.08</v>
      </c>
      <c r="D18" s="500">
        <v>2.7</v>
      </c>
      <c r="E18" s="503"/>
      <c r="F18" s="273"/>
      <c r="G18" s="443">
        <f t="shared" si="0"/>
        <v>0</v>
      </c>
      <c r="H18" s="442">
        <f t="shared" si="1"/>
        <v>0</v>
      </c>
    </row>
    <row r="19" spans="2:8" ht="12.75">
      <c r="B19" s="270" t="s">
        <v>4</v>
      </c>
      <c r="C19" s="485">
        <v>1.1</v>
      </c>
      <c r="D19" s="500">
        <v>3.15</v>
      </c>
      <c r="E19" s="503"/>
      <c r="F19" s="273"/>
      <c r="G19" s="443">
        <f t="shared" si="0"/>
        <v>0</v>
      </c>
      <c r="H19" s="442">
        <f t="shared" si="1"/>
        <v>0</v>
      </c>
    </row>
    <row r="20" spans="2:8" ht="12.75">
      <c r="B20" s="496" t="s">
        <v>264</v>
      </c>
      <c r="C20" s="521">
        <v>1.08</v>
      </c>
      <c r="D20" s="522">
        <v>3.5</v>
      </c>
      <c r="E20" s="503"/>
      <c r="F20" s="273"/>
      <c r="G20" s="443">
        <f t="shared" si="0"/>
        <v>0</v>
      </c>
      <c r="H20" s="442">
        <f t="shared" si="1"/>
        <v>0</v>
      </c>
    </row>
    <row r="21" spans="2:8" ht="12.75">
      <c r="B21" s="363" t="s">
        <v>223</v>
      </c>
      <c r="C21" s="487">
        <v>1.12</v>
      </c>
      <c r="D21" s="501">
        <v>2.95</v>
      </c>
      <c r="E21" s="503"/>
      <c r="F21" s="273"/>
      <c r="G21" s="443">
        <f t="shared" si="0"/>
        <v>0</v>
      </c>
      <c r="H21" s="442">
        <f t="shared" si="1"/>
        <v>0</v>
      </c>
    </row>
    <row r="22" spans="2:8" ht="12.75">
      <c r="B22" s="270" t="s">
        <v>121</v>
      </c>
      <c r="C22" s="485">
        <v>1.06</v>
      </c>
      <c r="D22" s="500">
        <v>2.65</v>
      </c>
      <c r="E22" s="503"/>
      <c r="F22" s="273"/>
      <c r="G22" s="443">
        <f t="shared" si="0"/>
        <v>0</v>
      </c>
      <c r="H22" s="442">
        <f t="shared" si="1"/>
        <v>0</v>
      </c>
    </row>
    <row r="23" spans="2:8" ht="12.75">
      <c r="B23" s="480" t="s">
        <v>285</v>
      </c>
      <c r="C23" s="485">
        <v>1.06</v>
      </c>
      <c r="D23" s="500">
        <v>3.1</v>
      </c>
      <c r="E23" s="503"/>
      <c r="F23" s="273"/>
      <c r="G23" s="443">
        <f t="shared" si="0"/>
        <v>0</v>
      </c>
      <c r="H23" s="442">
        <f t="shared" si="1"/>
        <v>0</v>
      </c>
    </row>
    <row r="24" spans="2:8" ht="12.75">
      <c r="B24" s="480" t="s">
        <v>9</v>
      </c>
      <c r="C24" s="485">
        <v>1.1</v>
      </c>
      <c r="D24" s="425">
        <v>20</v>
      </c>
      <c r="E24" s="503"/>
      <c r="F24" s="273"/>
      <c r="G24" s="443">
        <f t="shared" si="0"/>
        <v>0</v>
      </c>
      <c r="H24" s="442">
        <f t="shared" si="1"/>
        <v>0</v>
      </c>
    </row>
    <row r="25" spans="2:8" ht="12.75">
      <c r="B25" s="480" t="s">
        <v>286</v>
      </c>
      <c r="C25" s="485">
        <v>1.1</v>
      </c>
      <c r="D25" s="425">
        <v>21.5</v>
      </c>
      <c r="E25" s="503"/>
      <c r="F25" s="273"/>
      <c r="G25" s="443">
        <f t="shared" si="0"/>
        <v>0</v>
      </c>
      <c r="H25" s="442">
        <f t="shared" si="1"/>
        <v>0</v>
      </c>
    </row>
    <row r="26" spans="2:8" ht="12.75">
      <c r="B26" s="456" t="s">
        <v>269</v>
      </c>
      <c r="C26" s="488">
        <v>1.15</v>
      </c>
      <c r="D26" s="483">
        <v>10.5</v>
      </c>
      <c r="E26" s="503"/>
      <c r="F26" s="273"/>
      <c r="G26" s="443">
        <f t="shared" si="0"/>
        <v>0</v>
      </c>
      <c r="H26" s="442">
        <f t="shared" si="1"/>
        <v>0</v>
      </c>
    </row>
    <row r="27" spans="2:8" ht="12.75">
      <c r="B27" s="456" t="s">
        <v>270</v>
      </c>
      <c r="C27" s="488">
        <v>1.15</v>
      </c>
      <c r="D27" s="483">
        <v>13.5</v>
      </c>
      <c r="E27" s="503"/>
      <c r="F27" s="273"/>
      <c r="G27" s="443">
        <f aca="true" t="shared" si="2" ref="G27:G33">C27*D27*E27/100</f>
        <v>0</v>
      </c>
      <c r="H27" s="442">
        <f>C27*F27*D27/100</f>
        <v>0</v>
      </c>
    </row>
    <row r="28" spans="2:8" ht="12.75">
      <c r="B28" s="480" t="s">
        <v>266</v>
      </c>
      <c r="C28" s="486">
        <v>1.12</v>
      </c>
      <c r="D28" s="483">
        <v>4</v>
      </c>
      <c r="E28" s="503"/>
      <c r="F28" s="273"/>
      <c r="G28" s="439">
        <f t="shared" si="2"/>
        <v>0</v>
      </c>
      <c r="H28" s="433">
        <f aca="true" t="shared" si="3" ref="H28:H33">C28*F28*D28/100</f>
        <v>0</v>
      </c>
    </row>
    <row r="29" spans="2:8" ht="12.75">
      <c r="B29" s="480" t="s">
        <v>7</v>
      </c>
      <c r="C29" s="485">
        <v>1.15</v>
      </c>
      <c r="D29" s="500">
        <v>10.3</v>
      </c>
      <c r="E29" s="503"/>
      <c r="F29" s="273"/>
      <c r="G29" s="439">
        <f t="shared" si="2"/>
        <v>0</v>
      </c>
      <c r="H29" s="433">
        <f t="shared" si="3"/>
        <v>0</v>
      </c>
    </row>
    <row r="30" spans="2:8" ht="12.75">
      <c r="B30" s="480" t="s">
        <v>8</v>
      </c>
      <c r="C30" s="485">
        <v>1.15</v>
      </c>
      <c r="D30" s="500">
        <v>11.5</v>
      </c>
      <c r="E30" s="503"/>
      <c r="F30" s="273"/>
      <c r="G30" s="439">
        <f t="shared" si="2"/>
        <v>0</v>
      </c>
      <c r="H30" s="433">
        <f t="shared" si="3"/>
        <v>0</v>
      </c>
    </row>
    <row r="31" spans="2:8" ht="12.75">
      <c r="B31" s="329" t="s">
        <v>272</v>
      </c>
      <c r="C31" s="359">
        <v>1.03</v>
      </c>
      <c r="D31" s="502">
        <v>5</v>
      </c>
      <c r="E31" s="503"/>
      <c r="F31" s="273"/>
      <c r="G31" s="439">
        <f t="shared" si="2"/>
        <v>0</v>
      </c>
      <c r="H31" s="433">
        <f t="shared" si="3"/>
        <v>0</v>
      </c>
    </row>
    <row r="32" spans="2:8" ht="12.75">
      <c r="B32" s="322" t="s">
        <v>265</v>
      </c>
      <c r="C32" s="497">
        <v>1.08</v>
      </c>
      <c r="D32" s="498">
        <v>8</v>
      </c>
      <c r="E32" s="503"/>
      <c r="F32" s="273"/>
      <c r="G32" s="439">
        <f t="shared" si="2"/>
        <v>0</v>
      </c>
      <c r="H32" s="433">
        <f t="shared" si="3"/>
        <v>0</v>
      </c>
    </row>
    <row r="33" spans="2:8" ht="13.5" thickBot="1">
      <c r="B33" s="315" t="s">
        <v>224</v>
      </c>
      <c r="C33" s="487">
        <v>1.15</v>
      </c>
      <c r="D33" s="501">
        <v>5</v>
      </c>
      <c r="E33" s="503">
        <v>40</v>
      </c>
      <c r="F33" s="273">
        <v>40</v>
      </c>
      <c r="G33" s="439">
        <f t="shared" si="2"/>
        <v>2.3</v>
      </c>
      <c r="H33" s="433">
        <f t="shared" si="3"/>
        <v>2.3</v>
      </c>
    </row>
    <row r="34" spans="2:8" ht="18">
      <c r="B34" s="15" t="s">
        <v>18</v>
      </c>
      <c r="C34" s="26"/>
      <c r="D34" s="29"/>
      <c r="E34" s="321"/>
      <c r="F34" s="254"/>
      <c r="G34" s="414">
        <f>SUM(G8:G33)</f>
        <v>4.4620999999999995</v>
      </c>
      <c r="H34" s="406">
        <f>SUM(H8:H33)</f>
        <v>4.0108999999999995</v>
      </c>
    </row>
    <row r="35" spans="2:8" ht="12.75">
      <c r="B35" s="6" t="s">
        <v>57</v>
      </c>
      <c r="C35" s="4"/>
      <c r="D35" s="4"/>
      <c r="E35" s="255"/>
      <c r="F35" s="255"/>
      <c r="G35" s="4"/>
      <c r="H35" s="7"/>
    </row>
    <row r="36" spans="2:8" ht="12.75">
      <c r="B36" s="263" t="s">
        <v>122</v>
      </c>
      <c r="C36" s="264">
        <v>1.01</v>
      </c>
      <c r="D36" s="264">
        <v>10</v>
      </c>
      <c r="E36" s="273"/>
      <c r="F36" s="274"/>
      <c r="G36" s="13">
        <f>C36*D36*E36/100</f>
        <v>0</v>
      </c>
      <c r="H36" s="9">
        <f>C36*F36*D36/100</f>
        <v>0</v>
      </c>
    </row>
    <row r="37" spans="2:8" ht="12.75">
      <c r="B37" s="270" t="s">
        <v>123</v>
      </c>
      <c r="C37" s="271">
        <v>1.01</v>
      </c>
      <c r="D37" s="271">
        <v>10</v>
      </c>
      <c r="E37" s="273"/>
      <c r="F37" s="274"/>
      <c r="G37" s="13">
        <f>C37*D37*E37/100</f>
        <v>0</v>
      </c>
      <c r="H37" s="9">
        <f>C37*F37*D37/100</f>
        <v>0</v>
      </c>
    </row>
    <row r="38" spans="2:8" ht="13.5" thickBot="1">
      <c r="B38" s="275" t="s">
        <v>124</v>
      </c>
      <c r="C38" s="276">
        <v>1.01</v>
      </c>
      <c r="D38" s="276">
        <v>20</v>
      </c>
      <c r="E38" s="273"/>
      <c r="F38" s="274"/>
      <c r="G38" s="13">
        <f>C38*D38*E38/100</f>
        <v>0</v>
      </c>
      <c r="H38" s="9">
        <f>C38*F38*D38/100</f>
        <v>0</v>
      </c>
    </row>
    <row r="39" spans="2:8" ht="19.5" thickBot="1">
      <c r="B39" s="16" t="s">
        <v>58</v>
      </c>
      <c r="C39" s="17"/>
      <c r="D39" s="30"/>
      <c r="E39" s="239" t="s">
        <v>222</v>
      </c>
      <c r="F39" s="239" t="s">
        <v>222</v>
      </c>
      <c r="G39" s="18">
        <f>SUM(G36:G38)</f>
        <v>0</v>
      </c>
      <c r="H39" s="19">
        <f>SUM(H36:H38)</f>
        <v>0</v>
      </c>
    </row>
    <row r="40" spans="2:8" ht="18.75" thickBot="1">
      <c r="B40" s="16" t="s">
        <v>19</v>
      </c>
      <c r="C40" s="17"/>
      <c r="D40" s="30"/>
      <c r="E40" s="17"/>
      <c r="F40" s="12"/>
      <c r="G40" s="407">
        <f>G39+G34</f>
        <v>4.4620999999999995</v>
      </c>
      <c r="H40" s="408">
        <f>H39+H34</f>
        <v>4.0108999999999995</v>
      </c>
    </row>
    <row r="41" spans="1:8" ht="29.25" customHeight="1" thickBot="1">
      <c r="A41" s="1"/>
      <c r="B41" s="14" t="s">
        <v>17</v>
      </c>
      <c r="C41" s="3"/>
      <c r="D41" s="31"/>
      <c r="E41" s="31"/>
      <c r="F41" s="31"/>
      <c r="G41" s="31"/>
      <c r="H41" s="31"/>
    </row>
    <row r="42" spans="2:8" ht="38.25">
      <c r="B42" s="21"/>
      <c r="C42" s="58" t="s">
        <v>83</v>
      </c>
      <c r="D42" s="23" t="s">
        <v>28</v>
      </c>
      <c r="E42" s="23" t="s">
        <v>26</v>
      </c>
      <c r="F42" s="23" t="s">
        <v>27</v>
      </c>
      <c r="G42" s="23" t="s">
        <v>26</v>
      </c>
      <c r="H42" s="23" t="s">
        <v>27</v>
      </c>
    </row>
    <row r="43" spans="2:8" ht="12.75">
      <c r="B43" s="6" t="s">
        <v>22</v>
      </c>
      <c r="C43" s="4"/>
      <c r="D43" s="4"/>
      <c r="E43" s="4"/>
      <c r="F43" s="4"/>
      <c r="G43" s="4"/>
      <c r="H43" s="7"/>
    </row>
    <row r="44" spans="2:8" ht="12.75">
      <c r="B44" s="322" t="s">
        <v>21</v>
      </c>
      <c r="C44" s="264"/>
      <c r="D44" s="279"/>
      <c r="E44" s="524">
        <v>20</v>
      </c>
      <c r="F44" s="525">
        <v>20</v>
      </c>
      <c r="G44" s="13"/>
      <c r="H44" s="9"/>
    </row>
    <row r="45" spans="2:8" ht="12.75">
      <c r="B45" s="270" t="s">
        <v>81</v>
      </c>
      <c r="C45" s="451">
        <v>3</v>
      </c>
      <c r="D45" s="323"/>
      <c r="E45" s="269" t="s">
        <v>12</v>
      </c>
      <c r="F45" s="360" t="s">
        <v>12</v>
      </c>
      <c r="G45" s="13">
        <f>IF(E45="X",$E$44*C45,0)/100+0.4</f>
        <v>1</v>
      </c>
      <c r="H45" s="9">
        <f>+IF(F45="X",$F$44*C45,0)/100+0.4</f>
        <v>1</v>
      </c>
    </row>
    <row r="46" spans="2:8" ht="12.75">
      <c r="B46" s="270" t="s">
        <v>82</v>
      </c>
      <c r="C46" s="449">
        <f>0.8/14</f>
        <v>0.05714285714285715</v>
      </c>
      <c r="D46" s="323" t="s">
        <v>20</v>
      </c>
      <c r="E46" s="267"/>
      <c r="F46" s="268"/>
      <c r="G46" s="13">
        <f>IF(E46="X",$E$44*C46,0)/2</f>
        <v>0</v>
      </c>
      <c r="H46" s="9">
        <f>IF(F46="X",$F$44*C46,0)/2</f>
        <v>0</v>
      </c>
    </row>
    <row r="47" spans="2:8" ht="12.75">
      <c r="B47" s="270" t="s">
        <v>262</v>
      </c>
      <c r="C47" s="271">
        <v>0.75</v>
      </c>
      <c r="D47" s="323" t="s">
        <v>20</v>
      </c>
      <c r="E47" s="267"/>
      <c r="F47" s="268"/>
      <c r="G47" s="13">
        <f>IF(E47="X",$C$47,0)</f>
        <v>0</v>
      </c>
      <c r="H47" s="9">
        <f>+IF(F47="X",$C$47,0)</f>
        <v>0</v>
      </c>
    </row>
    <row r="48" spans="2:8" ht="13.5" thickBot="1">
      <c r="B48" s="275" t="s">
        <v>88</v>
      </c>
      <c r="C48" s="276">
        <v>1.5</v>
      </c>
      <c r="D48" s="281" t="s">
        <v>20</v>
      </c>
      <c r="E48" s="277"/>
      <c r="F48" s="278"/>
      <c r="G48" s="13">
        <f>IF(E48="X",$C$48,0)</f>
        <v>0</v>
      </c>
      <c r="H48" s="9">
        <f>+IF(F48="X",$C$48,0)</f>
        <v>0</v>
      </c>
    </row>
    <row r="49" spans="2:8" ht="18.75" thickBot="1">
      <c r="B49" s="16" t="s">
        <v>84</v>
      </c>
      <c r="C49" s="17"/>
      <c r="D49" s="30"/>
      <c r="E49" s="17"/>
      <c r="F49" s="12"/>
      <c r="G49" s="407">
        <f>SUM(G45:G48)</f>
        <v>1</v>
      </c>
      <c r="H49" s="408">
        <f>SUM(H45:H48)</f>
        <v>1</v>
      </c>
    </row>
    <row r="50" spans="2:8" ht="18.75" thickBot="1">
      <c r="B50" s="16" t="s">
        <v>85</v>
      </c>
      <c r="C50" s="17"/>
      <c r="D50" s="30"/>
      <c r="E50" s="17"/>
      <c r="F50" s="12"/>
      <c r="G50" s="407">
        <f>G49+G40</f>
        <v>5.4620999999999995</v>
      </c>
      <c r="H50" s="408">
        <f>H49+H39+H34</f>
        <v>5.0108999999999995</v>
      </c>
    </row>
    <row r="51" spans="1:8" ht="37.5" customHeight="1" thickBot="1">
      <c r="A51" s="1"/>
      <c r="B51" s="14" t="s">
        <v>52</v>
      </c>
      <c r="C51" s="3"/>
      <c r="D51" s="31"/>
      <c r="E51" s="3"/>
      <c r="F51" s="3"/>
      <c r="G51" s="20"/>
      <c r="H51" s="20"/>
    </row>
    <row r="52" spans="1:8" ht="45.75" customHeight="1">
      <c r="A52" s="1"/>
      <c r="B52" s="67" t="s">
        <v>11</v>
      </c>
      <c r="C52" s="58" t="s">
        <v>241</v>
      </c>
      <c r="D52" s="23" t="s">
        <v>28</v>
      </c>
      <c r="E52" s="687" t="s">
        <v>87</v>
      </c>
      <c r="F52" s="687"/>
      <c r="G52" s="688" t="s">
        <v>31</v>
      </c>
      <c r="H52" s="689"/>
    </row>
    <row r="53" spans="2:8" s="61" customFormat="1" ht="15.75">
      <c r="B53" s="57" t="s">
        <v>29</v>
      </c>
      <c r="C53" s="62"/>
      <c r="D53" s="55"/>
      <c r="E53" s="55"/>
      <c r="F53" s="241"/>
      <c r="G53" s="55" t="s">
        <v>15</v>
      </c>
      <c r="H53" s="56" t="s">
        <v>14</v>
      </c>
    </row>
    <row r="54" spans="2:8" ht="12.75">
      <c r="B54" s="340" t="s">
        <v>61</v>
      </c>
      <c r="C54" s="353"/>
      <c r="D54" s="351"/>
      <c r="E54" s="336">
        <v>20</v>
      </c>
      <c r="F54" s="347"/>
      <c r="G54" s="32"/>
      <c r="H54" s="24"/>
    </row>
    <row r="55" spans="2:8" ht="12.75">
      <c r="B55" s="341" t="s">
        <v>63</v>
      </c>
      <c r="C55" s="354"/>
      <c r="D55" s="352"/>
      <c r="E55" s="337">
        <v>250</v>
      </c>
      <c r="F55" s="348"/>
      <c r="G55" s="32"/>
      <c r="H55" s="24"/>
    </row>
    <row r="56" spans="2:8" ht="12.75">
      <c r="B56" s="33" t="s">
        <v>41</v>
      </c>
      <c r="C56" s="355"/>
      <c r="D56" s="31"/>
      <c r="E56" s="338"/>
      <c r="F56" s="242"/>
      <c r="G56" s="32"/>
      <c r="H56" s="24"/>
    </row>
    <row r="57" spans="2:8" ht="12.75">
      <c r="B57" s="288" t="s">
        <v>233</v>
      </c>
      <c r="C57" s="356"/>
      <c r="D57" s="352"/>
      <c r="E57" s="459">
        <f>IF(SUM($E$36:$E$38)&gt;0,"X","")</f>
      </c>
      <c r="F57" s="348"/>
      <c r="G57" s="13"/>
      <c r="H57" s="9"/>
    </row>
    <row r="58" spans="2:8" ht="12.75">
      <c r="B58" s="288" t="s">
        <v>234</v>
      </c>
      <c r="C58" s="356"/>
      <c r="D58" s="352"/>
      <c r="E58" s="459">
        <f>IF(SUM($F$36:$F$38)&gt;0,"X","")</f>
      </c>
      <c r="F58" s="348"/>
      <c r="G58" s="13"/>
      <c r="H58" s="9"/>
    </row>
    <row r="59" spans="2:8" ht="12.75">
      <c r="B59" s="10" t="s">
        <v>64</v>
      </c>
      <c r="C59" s="357"/>
      <c r="D59" s="31"/>
      <c r="E59" s="349">
        <f>E55-E60</f>
        <v>237.005316007088</v>
      </c>
      <c r="F59" s="242"/>
      <c r="G59" s="13">
        <f>G50*E59/1000</f>
        <v>1.2945467365623153</v>
      </c>
      <c r="H59" s="9">
        <f>G59*1000/$E$55</f>
        <v>5.178186946249261</v>
      </c>
    </row>
    <row r="60" spans="2:8" ht="13.5" thickBot="1">
      <c r="B60" s="10" t="s">
        <v>65</v>
      </c>
      <c r="C60" s="358"/>
      <c r="D60" s="31"/>
      <c r="E60" s="350">
        <f>E64*E54/(F44*1.693)*IF(F46="X",2,1)*IF(E58="X",1.2,1.1)</f>
        <v>12.994683992911993</v>
      </c>
      <c r="F60" s="242"/>
      <c r="G60" s="13">
        <f>H50*E60/1000</f>
        <v>0.0651150620200827</v>
      </c>
      <c r="H60" s="9">
        <f>G60*1000/$E$55</f>
        <v>0.2604602480803308</v>
      </c>
    </row>
    <row r="61" spans="2:8" ht="18.75" thickBot="1">
      <c r="B61" s="16" t="s">
        <v>23</v>
      </c>
      <c r="C61" s="17"/>
      <c r="D61" s="30"/>
      <c r="E61" s="17"/>
      <c r="F61" s="237"/>
      <c r="G61" s="415">
        <f>SUM(G59:G60)</f>
        <v>1.359661798582398</v>
      </c>
      <c r="H61" s="412">
        <f>SUM(H59:H60)</f>
        <v>5.438647194329592</v>
      </c>
    </row>
    <row r="62" spans="2:8" ht="12.75">
      <c r="B62" s="8" t="s">
        <v>66</v>
      </c>
      <c r="C62" s="70">
        <v>0.8</v>
      </c>
      <c r="D62" s="31"/>
      <c r="E62" s="518"/>
      <c r="F62" s="242">
        <f>IF(D62="X",B62,0)/2</f>
        <v>0</v>
      </c>
      <c r="G62" s="13">
        <f>IF(E46&lt;&gt;"X",E59*C62,0)/1000</f>
        <v>0.1896042528056704</v>
      </c>
      <c r="H62" s="9">
        <f>G62*1000/$E$55</f>
        <v>0.7584170112226816</v>
      </c>
    </row>
    <row r="63" spans="2:8" ht="12.75">
      <c r="B63" s="329" t="s">
        <v>250</v>
      </c>
      <c r="C63" s="359">
        <v>0.4</v>
      </c>
      <c r="D63" s="515" t="s">
        <v>20</v>
      </c>
      <c r="E63" s="519"/>
      <c r="F63" s="348"/>
      <c r="G63" s="13">
        <f>IF(E63="X",C63,0)</f>
        <v>0</v>
      </c>
      <c r="H63" s="9">
        <f>G63*1000/$E$55</f>
        <v>0</v>
      </c>
    </row>
    <row r="64" spans="2:8" ht="13.5" thickBot="1">
      <c r="B64" s="275" t="s">
        <v>67</v>
      </c>
      <c r="C64" s="294">
        <v>1</v>
      </c>
      <c r="D64" s="516"/>
      <c r="E64" s="520">
        <v>20</v>
      </c>
      <c r="F64" s="517"/>
      <c r="G64" s="13">
        <f>E64*C64/100/(IF(E54&lt;90,INT(90/E54),1))</f>
        <v>0.05</v>
      </c>
      <c r="H64" s="9">
        <f>G64*1000/$E$55</f>
        <v>0.2</v>
      </c>
    </row>
    <row r="65" spans="2:8" ht="18.75" thickBot="1">
      <c r="B65" s="16" t="s">
        <v>24</v>
      </c>
      <c r="C65" s="17"/>
      <c r="D65" s="30"/>
      <c r="E65" s="17"/>
      <c r="F65" s="237"/>
      <c r="G65" s="415">
        <f>G64+G62</f>
        <v>0.23960425280567038</v>
      </c>
      <c r="H65" s="412">
        <f>H64+H62</f>
        <v>0.9584170112226815</v>
      </c>
    </row>
    <row r="66" spans="2:8" ht="18.75" thickBot="1">
      <c r="B66" s="16" t="s">
        <v>68</v>
      </c>
      <c r="C66" s="17"/>
      <c r="D66" s="30"/>
      <c r="E66" s="17"/>
      <c r="F66" s="237"/>
      <c r="G66" s="415">
        <f>G65+G61</f>
        <v>1.5992660513880683</v>
      </c>
      <c r="H66" s="412">
        <f>H65+H61</f>
        <v>6.397064205552273</v>
      </c>
    </row>
    <row r="67" spans="2:8" ht="18">
      <c r="B67" s="25"/>
      <c r="C67" s="3"/>
      <c r="D67" s="31"/>
      <c r="E67" s="3"/>
      <c r="F67" s="243"/>
      <c r="G67" s="466"/>
      <c r="H67" s="467"/>
    </row>
    <row r="68" spans="2:8" s="1" customFormat="1" ht="16.5">
      <c r="B68" s="477" t="s">
        <v>284</v>
      </c>
      <c r="C68" s="470"/>
      <c r="D68" s="471"/>
      <c r="E68" s="470"/>
      <c r="F68" s="472"/>
      <c r="G68" s="468"/>
      <c r="H68" s="468"/>
    </row>
    <row r="69" spans="2:8" ht="16.5">
      <c r="B69" s="469" t="s">
        <v>282</v>
      </c>
      <c r="C69" s="473"/>
      <c r="D69" s="474"/>
      <c r="E69" s="474"/>
      <c r="F69" s="475"/>
      <c r="G69" s="474"/>
      <c r="H69" s="474"/>
    </row>
    <row r="70" spans="2:8" ht="16.5">
      <c r="B70" s="476" t="s">
        <v>283</v>
      </c>
      <c r="C70" s="473"/>
      <c r="D70" s="474"/>
      <c r="E70" s="474"/>
      <c r="F70" s="474"/>
      <c r="G70" s="474"/>
      <c r="H70" s="474"/>
    </row>
  </sheetData>
  <sheetProtection password="E868" sheet="1" objects="1" scenarios="1"/>
  <mergeCells count="3">
    <mergeCell ref="G52:H52"/>
    <mergeCell ref="B4:H4"/>
    <mergeCell ref="E52:F52"/>
  </mergeCells>
  <conditionalFormatting sqref="E39:F39">
    <cfRule type="expression" priority="1" dxfId="2" stopIfTrue="1">
      <formula>SUM(E7:E38)&lt;&gt;100</formula>
    </cfRule>
  </conditionalFormatting>
  <conditionalFormatting sqref="G44:H48 G36:H38 G8:H33">
    <cfRule type="cellIs" priority="2" dxfId="1" operator="greaterThan" stopIfTrue="1">
      <formula>0</formula>
    </cfRule>
  </conditionalFormatting>
  <conditionalFormatting sqref="G57:H60 G54:G55 F62:H62 G63:H64">
    <cfRule type="cellIs" priority="3" dxfId="0" operator="greaterThan" stopIfTrue="1">
      <formula>0</formula>
    </cfRule>
  </conditionalFormatting>
  <printOptions horizontalCentered="1"/>
  <pageMargins left="0.41" right="0.2755905511811024" top="0.68" bottom="0.984251968503937" header="0.5118110236220472" footer="0.5118110236220472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2"/>
  <sheetViews>
    <sheetView showGridLines="0" showZeros="0" zoomScale="93" zoomScaleNormal="93" zoomScalePageLayoutView="0" workbookViewId="0" topLeftCell="A1">
      <selection activeCell="E79" sqref="E79"/>
    </sheetView>
  </sheetViews>
  <sheetFormatPr defaultColWidth="9.140625" defaultRowHeight="12.75"/>
  <cols>
    <col min="2" max="2" width="35.28125" style="0" customWidth="1"/>
    <col min="3" max="3" width="16.00390625" style="27" customWidth="1"/>
    <col min="4" max="4" width="11.57421875" style="28" customWidth="1"/>
    <col min="5" max="6" width="11.7109375" style="28" customWidth="1"/>
    <col min="7" max="8" width="16.140625" style="28" bestFit="1" customWidth="1"/>
  </cols>
  <sheetData>
    <row r="3" spans="2:7" ht="12.75">
      <c r="B3" s="1"/>
      <c r="C3" s="3"/>
      <c r="D3" s="3"/>
      <c r="E3" s="2"/>
      <c r="F3" s="2"/>
      <c r="G3" s="3"/>
    </row>
    <row r="4" spans="2:8" ht="31.5">
      <c r="B4" s="690" t="s">
        <v>288</v>
      </c>
      <c r="C4" s="690"/>
      <c r="D4" s="690"/>
      <c r="E4" s="690"/>
      <c r="F4" s="690"/>
      <c r="G4" s="690"/>
      <c r="H4" s="690"/>
    </row>
    <row r="5" spans="2:8" ht="24.75" thickBot="1">
      <c r="B5" s="14" t="s">
        <v>16</v>
      </c>
      <c r="C5" s="3"/>
      <c r="D5" s="3"/>
      <c r="E5" s="2"/>
      <c r="F5" s="2"/>
      <c r="G5" s="3"/>
      <c r="H5" s="190" t="s">
        <v>211</v>
      </c>
    </row>
    <row r="6" spans="2:8" ht="38.25">
      <c r="B6" s="54" t="s">
        <v>0</v>
      </c>
      <c r="C6" s="58" t="s">
        <v>69</v>
      </c>
      <c r="D6" s="58" t="s">
        <v>72</v>
      </c>
      <c r="E6" s="59" t="s">
        <v>78</v>
      </c>
      <c r="F6" s="59" t="s">
        <v>79</v>
      </c>
      <c r="G6" s="58" t="s">
        <v>73</v>
      </c>
      <c r="H6" s="60" t="s">
        <v>74</v>
      </c>
    </row>
    <row r="7" spans="2:8" ht="15.75">
      <c r="B7" s="65" t="s">
        <v>80</v>
      </c>
      <c r="C7" s="63" t="s">
        <v>70</v>
      </c>
      <c r="D7" s="63" t="s">
        <v>71</v>
      </c>
      <c r="E7" s="66" t="s">
        <v>77</v>
      </c>
      <c r="F7" s="66" t="s">
        <v>77</v>
      </c>
      <c r="G7" s="63" t="s">
        <v>71</v>
      </c>
      <c r="H7" s="64" t="s">
        <v>71</v>
      </c>
    </row>
    <row r="8" spans="2:8" ht="12.75">
      <c r="B8" s="523" t="s">
        <v>291</v>
      </c>
      <c r="C8" s="484">
        <v>1.15</v>
      </c>
      <c r="D8" s="499">
        <v>1.7</v>
      </c>
      <c r="E8" s="503"/>
      <c r="F8" s="273"/>
      <c r="G8" s="443">
        <f aca="true" t="shared" si="0" ref="G8:G13">C8*D8*E8/100</f>
        <v>0</v>
      </c>
      <c r="H8" s="442">
        <f aca="true" t="shared" si="1" ref="H8:H13">C8*F8*D8/100</f>
        <v>0</v>
      </c>
    </row>
    <row r="9" spans="2:8" ht="12.75">
      <c r="B9" s="523" t="s">
        <v>292</v>
      </c>
      <c r="C9" s="485">
        <v>1.18</v>
      </c>
      <c r="D9" s="500">
        <v>2.85</v>
      </c>
      <c r="E9" s="503"/>
      <c r="F9" s="273"/>
      <c r="G9" s="443">
        <f t="shared" si="0"/>
        <v>0</v>
      </c>
      <c r="H9" s="442">
        <f t="shared" si="1"/>
        <v>0</v>
      </c>
    </row>
    <row r="10" spans="2:8" ht="12.75">
      <c r="B10" s="523" t="s">
        <v>293</v>
      </c>
      <c r="C10" s="485">
        <v>1.3</v>
      </c>
      <c r="D10" s="500">
        <v>1.8</v>
      </c>
      <c r="E10" s="503">
        <v>100</v>
      </c>
      <c r="F10" s="273">
        <v>100</v>
      </c>
      <c r="G10" s="443">
        <f t="shared" si="0"/>
        <v>2.3400000000000003</v>
      </c>
      <c r="H10" s="442">
        <f t="shared" si="1"/>
        <v>2.34</v>
      </c>
    </row>
    <row r="11" spans="2:8" ht="12.75">
      <c r="B11" s="523" t="s">
        <v>294</v>
      </c>
      <c r="C11" s="485">
        <v>1.45</v>
      </c>
      <c r="D11" s="500">
        <v>3.3</v>
      </c>
      <c r="E11" s="503"/>
      <c r="F11" s="273"/>
      <c r="G11" s="443">
        <f t="shared" si="0"/>
        <v>0</v>
      </c>
      <c r="H11" s="442">
        <f t="shared" si="1"/>
        <v>0</v>
      </c>
    </row>
    <row r="12" spans="2:8" ht="12.75">
      <c r="B12" s="480" t="s">
        <v>295</v>
      </c>
      <c r="C12" s="484">
        <v>1.18</v>
      </c>
      <c r="D12" s="499">
        <v>2</v>
      </c>
      <c r="E12" s="503"/>
      <c r="F12" s="273"/>
      <c r="G12" s="443">
        <f t="shared" si="0"/>
        <v>0</v>
      </c>
      <c r="H12" s="442">
        <f t="shared" si="1"/>
        <v>0</v>
      </c>
    </row>
    <row r="13" spans="2:8" ht="12.75">
      <c r="B13" s="480" t="s">
        <v>296</v>
      </c>
      <c r="C13" s="484">
        <v>1.34</v>
      </c>
      <c r="D13" s="499">
        <v>2</v>
      </c>
      <c r="E13" s="503"/>
      <c r="F13" s="273"/>
      <c r="G13" s="443">
        <f t="shared" si="0"/>
        <v>0</v>
      </c>
      <c r="H13" s="442">
        <f t="shared" si="1"/>
        <v>0</v>
      </c>
    </row>
    <row r="14" spans="2:8" ht="12.75">
      <c r="B14" s="270" t="s">
        <v>120</v>
      </c>
      <c r="C14" s="485">
        <v>1.2</v>
      </c>
      <c r="D14" s="500">
        <v>3.15</v>
      </c>
      <c r="E14" s="503"/>
      <c r="F14" s="273"/>
      <c r="G14" s="439">
        <f aca="true" t="shared" si="2" ref="G14:G19">C14*D14*E14/100</f>
        <v>0</v>
      </c>
      <c r="H14" s="433">
        <f aca="true" t="shared" si="3" ref="H14:H19">C14*F14*D14/100</f>
        <v>0</v>
      </c>
    </row>
    <row r="15" spans="2:8" ht="12.75">
      <c r="B15" s="270" t="s">
        <v>108</v>
      </c>
      <c r="C15" s="485">
        <v>1.03</v>
      </c>
      <c r="D15" s="500">
        <v>1.7</v>
      </c>
      <c r="E15" s="503"/>
      <c r="F15" s="273"/>
      <c r="G15" s="439">
        <f t="shared" si="2"/>
        <v>0</v>
      </c>
      <c r="H15" s="433">
        <f t="shared" si="3"/>
        <v>0</v>
      </c>
    </row>
    <row r="16" spans="2:8" ht="12.75">
      <c r="B16" s="270" t="s">
        <v>1</v>
      </c>
      <c r="C16" s="485">
        <v>1.05</v>
      </c>
      <c r="D16" s="500">
        <v>2.1</v>
      </c>
      <c r="E16" s="503"/>
      <c r="F16" s="273"/>
      <c r="G16" s="439">
        <f t="shared" si="2"/>
        <v>0</v>
      </c>
      <c r="H16" s="433">
        <f t="shared" si="3"/>
        <v>0</v>
      </c>
    </row>
    <row r="17" spans="2:8" ht="12.75">
      <c r="B17" s="265" t="s">
        <v>263</v>
      </c>
      <c r="C17" s="486">
        <v>1.08</v>
      </c>
      <c r="D17" s="483">
        <v>4.45</v>
      </c>
      <c r="E17" s="503"/>
      <c r="F17" s="273"/>
      <c r="G17" s="439">
        <f t="shared" si="2"/>
        <v>0</v>
      </c>
      <c r="H17" s="433">
        <f t="shared" si="3"/>
        <v>0</v>
      </c>
    </row>
    <row r="18" spans="2:8" ht="12.75">
      <c r="B18" s="270" t="s">
        <v>3</v>
      </c>
      <c r="C18" s="485">
        <v>1.08</v>
      </c>
      <c r="D18" s="500">
        <v>2.7</v>
      </c>
      <c r="E18" s="503"/>
      <c r="F18" s="273"/>
      <c r="G18" s="443">
        <f>C18*D18*E18/100</f>
        <v>0</v>
      </c>
      <c r="H18" s="442">
        <f>C18*F18*D18/100</f>
        <v>0</v>
      </c>
    </row>
    <row r="19" spans="2:8" ht="12.75">
      <c r="B19" s="270" t="s">
        <v>4</v>
      </c>
      <c r="C19" s="485">
        <v>1.1</v>
      </c>
      <c r="D19" s="500">
        <v>3.15</v>
      </c>
      <c r="E19" s="503"/>
      <c r="F19" s="273"/>
      <c r="G19" s="439">
        <f t="shared" si="2"/>
        <v>0</v>
      </c>
      <c r="H19" s="433">
        <f t="shared" si="3"/>
        <v>0</v>
      </c>
    </row>
    <row r="20" spans="2:8" ht="12.75">
      <c r="B20" s="496" t="s">
        <v>264</v>
      </c>
      <c r="C20" s="521">
        <v>1.08</v>
      </c>
      <c r="D20" s="522">
        <v>3.5</v>
      </c>
      <c r="E20" s="503"/>
      <c r="F20" s="273"/>
      <c r="G20" s="489">
        <f>C20*D20*E20/100</f>
        <v>0</v>
      </c>
      <c r="H20" s="490">
        <f>C20*F20*D20/100</f>
        <v>0</v>
      </c>
    </row>
    <row r="21" spans="2:8" ht="12.75">
      <c r="B21" s="363" t="s">
        <v>223</v>
      </c>
      <c r="C21" s="487">
        <v>1.12</v>
      </c>
      <c r="D21" s="501">
        <v>2.95</v>
      </c>
      <c r="E21" s="503"/>
      <c r="F21" s="273"/>
      <c r="G21" s="491">
        <f>C21*D21*E21/100</f>
        <v>0</v>
      </c>
      <c r="H21" s="492">
        <f>C21*F21*D21/100</f>
        <v>0</v>
      </c>
    </row>
    <row r="22" spans="2:8" ht="12.75">
      <c r="B22" s="270" t="s">
        <v>121</v>
      </c>
      <c r="C22" s="485">
        <v>1.06</v>
      </c>
      <c r="D22" s="500">
        <v>2.65</v>
      </c>
      <c r="E22" s="503"/>
      <c r="F22" s="273"/>
      <c r="G22" s="493">
        <f>C22*D22*E22/100</f>
        <v>0</v>
      </c>
      <c r="H22" s="494">
        <f>C22*F22*D22/100</f>
        <v>0</v>
      </c>
    </row>
    <row r="23" spans="2:8" ht="12.75">
      <c r="B23" s="480" t="s">
        <v>285</v>
      </c>
      <c r="C23" s="485">
        <v>1.06</v>
      </c>
      <c r="D23" s="500">
        <v>3.1</v>
      </c>
      <c r="E23" s="503"/>
      <c r="F23" s="273"/>
      <c r="G23" s="493">
        <f aca="true" t="shared" si="4" ref="G23:G30">C23*D23*E23/100</f>
        <v>0</v>
      </c>
      <c r="H23" s="494">
        <f aca="true" t="shared" si="5" ref="H23:H30">C23*F23*D23/100</f>
        <v>0</v>
      </c>
    </row>
    <row r="24" spans="2:8" ht="12.75">
      <c r="B24" s="480" t="s">
        <v>9</v>
      </c>
      <c r="C24" s="485">
        <v>1.1</v>
      </c>
      <c r="D24" s="425">
        <v>20</v>
      </c>
      <c r="E24" s="503"/>
      <c r="F24" s="273"/>
      <c r="G24" s="491">
        <f>C24*D24*E24/100</f>
        <v>0</v>
      </c>
      <c r="H24" s="494">
        <f t="shared" si="5"/>
        <v>0</v>
      </c>
    </row>
    <row r="25" spans="2:8" ht="12.75">
      <c r="B25" s="480" t="s">
        <v>286</v>
      </c>
      <c r="C25" s="485">
        <v>1.1</v>
      </c>
      <c r="D25" s="425">
        <v>21.5</v>
      </c>
      <c r="E25" s="503"/>
      <c r="F25" s="273"/>
      <c r="G25" s="491">
        <f>C25*D25*E25/100</f>
        <v>0</v>
      </c>
      <c r="H25" s="492">
        <f>C25*F25*D25/100</f>
        <v>0</v>
      </c>
    </row>
    <row r="26" spans="2:8" ht="12.75">
      <c r="B26" s="456" t="s">
        <v>269</v>
      </c>
      <c r="C26" s="488">
        <v>1.15</v>
      </c>
      <c r="D26" s="483">
        <v>10.5</v>
      </c>
      <c r="E26" s="503"/>
      <c r="F26" s="273"/>
      <c r="G26" s="493">
        <f t="shared" si="4"/>
        <v>0</v>
      </c>
      <c r="H26" s="494">
        <f t="shared" si="5"/>
        <v>0</v>
      </c>
    </row>
    <row r="27" spans="2:8" ht="13.5" customHeight="1">
      <c r="B27" s="456" t="s">
        <v>270</v>
      </c>
      <c r="C27" s="488">
        <v>1.15</v>
      </c>
      <c r="D27" s="483">
        <v>13.5</v>
      </c>
      <c r="E27" s="503"/>
      <c r="F27" s="273"/>
      <c r="G27" s="493">
        <f t="shared" si="4"/>
        <v>0</v>
      </c>
      <c r="H27" s="494">
        <f t="shared" si="5"/>
        <v>0</v>
      </c>
    </row>
    <row r="28" spans="2:8" ht="12.75">
      <c r="B28" s="480" t="s">
        <v>266</v>
      </c>
      <c r="C28" s="486">
        <v>1.12</v>
      </c>
      <c r="D28" s="483">
        <v>4</v>
      </c>
      <c r="E28" s="503"/>
      <c r="F28" s="273"/>
      <c r="G28" s="493">
        <f t="shared" si="4"/>
        <v>0</v>
      </c>
      <c r="H28" s="494">
        <f t="shared" si="5"/>
        <v>0</v>
      </c>
    </row>
    <row r="29" spans="2:8" ht="12.75">
      <c r="B29" s="480" t="s">
        <v>7</v>
      </c>
      <c r="C29" s="485">
        <v>1.15</v>
      </c>
      <c r="D29" s="500">
        <v>10.3</v>
      </c>
      <c r="E29" s="503"/>
      <c r="F29" s="273"/>
      <c r="G29" s="491">
        <f>C29*D29*E29/100</f>
        <v>0</v>
      </c>
      <c r="H29" s="492">
        <f>C29*F29*D29/100</f>
        <v>0</v>
      </c>
    </row>
    <row r="30" spans="2:8" ht="12.75">
      <c r="B30" s="480" t="s">
        <v>8</v>
      </c>
      <c r="C30" s="485">
        <v>1.15</v>
      </c>
      <c r="D30" s="500">
        <v>11.5</v>
      </c>
      <c r="E30" s="503"/>
      <c r="F30" s="273"/>
      <c r="G30" s="493">
        <f t="shared" si="4"/>
        <v>0</v>
      </c>
      <c r="H30" s="494">
        <f t="shared" si="5"/>
        <v>0</v>
      </c>
    </row>
    <row r="31" spans="2:8" ht="12.75">
      <c r="B31" s="329" t="s">
        <v>272</v>
      </c>
      <c r="C31" s="359">
        <v>1.03</v>
      </c>
      <c r="D31" s="502">
        <v>5</v>
      </c>
      <c r="E31" s="503"/>
      <c r="F31" s="273"/>
      <c r="G31" s="493">
        <f>C33*D33*E31/100</f>
        <v>0</v>
      </c>
      <c r="H31" s="495">
        <f>C33*F31*D33/100</f>
        <v>0</v>
      </c>
    </row>
    <row r="32" spans="2:8" ht="12.75">
      <c r="B32" s="322" t="s">
        <v>265</v>
      </c>
      <c r="C32" s="497">
        <v>1.08</v>
      </c>
      <c r="D32" s="498">
        <v>8</v>
      </c>
      <c r="E32" s="503"/>
      <c r="F32" s="273"/>
      <c r="G32" s="491">
        <f>C32*D32*E32/100</f>
        <v>0</v>
      </c>
      <c r="H32" s="492">
        <f>C32*F32*D32/100</f>
        <v>0</v>
      </c>
    </row>
    <row r="33" spans="2:8" ht="13.5" thickBot="1">
      <c r="B33" s="315" t="s">
        <v>224</v>
      </c>
      <c r="C33" s="487">
        <v>1.15</v>
      </c>
      <c r="D33" s="501">
        <v>5</v>
      </c>
      <c r="E33" s="503"/>
      <c r="F33" s="273"/>
      <c r="G33" s="491">
        <f>C33*D33*E33/100</f>
        <v>0</v>
      </c>
      <c r="H33" s="492">
        <f>C33*F33*D33/100</f>
        <v>0</v>
      </c>
    </row>
    <row r="34" spans="2:8" ht="18">
      <c r="B34" s="15" t="s">
        <v>18</v>
      </c>
      <c r="C34" s="26"/>
      <c r="D34" s="29"/>
      <c r="E34" s="321"/>
      <c r="F34" s="254"/>
      <c r="G34" s="508">
        <f>SUM(G8:G33)</f>
        <v>2.3400000000000003</v>
      </c>
      <c r="H34" s="406">
        <f>SUM(H8:H33)</f>
        <v>2.34</v>
      </c>
    </row>
    <row r="35" spans="2:8" ht="12.75">
      <c r="B35" s="6" t="s">
        <v>57</v>
      </c>
      <c r="C35" s="4"/>
      <c r="D35" s="4"/>
      <c r="E35" s="255"/>
      <c r="F35" s="255"/>
      <c r="G35" s="4"/>
      <c r="H35" s="7"/>
    </row>
    <row r="36" spans="2:8" ht="12.75">
      <c r="B36" s="263" t="s">
        <v>122</v>
      </c>
      <c r="C36" s="264">
        <v>1.01</v>
      </c>
      <c r="D36" s="504">
        <v>10</v>
      </c>
      <c r="E36" s="503"/>
      <c r="F36" s="274"/>
      <c r="G36" s="13">
        <f>C36*D36*E36/100</f>
        <v>0</v>
      </c>
      <c r="H36" s="509">
        <f>C36*F36*D36/100</f>
        <v>0</v>
      </c>
    </row>
    <row r="37" spans="2:8" ht="12.75">
      <c r="B37" s="270" t="s">
        <v>123</v>
      </c>
      <c r="C37" s="271">
        <v>1.01</v>
      </c>
      <c r="D37" s="425">
        <v>10</v>
      </c>
      <c r="E37" s="506"/>
      <c r="F37" s="268"/>
      <c r="G37" s="510">
        <f>C37*D37*E37/100</f>
        <v>0</v>
      </c>
      <c r="H37" s="433">
        <f>C37*F37*D37/100</f>
        <v>0</v>
      </c>
    </row>
    <row r="38" spans="2:8" ht="13.5" thickBot="1">
      <c r="B38" s="275" t="s">
        <v>124</v>
      </c>
      <c r="C38" s="276">
        <v>1.01</v>
      </c>
      <c r="D38" s="505">
        <v>20</v>
      </c>
      <c r="E38" s="507"/>
      <c r="F38" s="278"/>
      <c r="G38" s="13">
        <f>C38*D38*E38/100</f>
        <v>0</v>
      </c>
      <c r="H38" s="509">
        <f>C38*F38*D38/100</f>
        <v>0</v>
      </c>
    </row>
    <row r="39" spans="2:8" ht="19.5" thickBot="1">
      <c r="B39" s="16" t="s">
        <v>58</v>
      </c>
      <c r="C39" s="17"/>
      <c r="D39" s="30"/>
      <c r="E39" s="239" t="s">
        <v>222</v>
      </c>
      <c r="F39" s="239" t="s">
        <v>222</v>
      </c>
      <c r="G39" s="18">
        <f>SUM(G36:G38)</f>
        <v>0</v>
      </c>
      <c r="H39" s="511">
        <f>SUM(H36:H38)</f>
        <v>0</v>
      </c>
    </row>
    <row r="40" spans="2:8" ht="18.75" thickBot="1">
      <c r="B40" s="16" t="s">
        <v>19</v>
      </c>
      <c r="C40" s="17"/>
      <c r="D40" s="30"/>
      <c r="E40" s="17"/>
      <c r="F40" s="12"/>
      <c r="G40" s="512">
        <f>G39+G34</f>
        <v>2.3400000000000003</v>
      </c>
      <c r="H40" s="408">
        <f>H39+H34</f>
        <v>2.34</v>
      </c>
    </row>
    <row r="41" spans="1:8" ht="29.25" customHeight="1" thickBot="1">
      <c r="A41" s="1"/>
      <c r="B41" s="14" t="s">
        <v>17</v>
      </c>
      <c r="C41" s="3"/>
      <c r="D41" s="31"/>
      <c r="E41" s="31"/>
      <c r="F41" s="31"/>
      <c r="G41" s="31"/>
      <c r="H41" s="31"/>
    </row>
    <row r="42" spans="2:8" ht="38.25">
      <c r="B42" s="21"/>
      <c r="C42" s="58" t="s">
        <v>83</v>
      </c>
      <c r="D42" s="23" t="s">
        <v>28</v>
      </c>
      <c r="E42" s="23" t="s">
        <v>26</v>
      </c>
      <c r="F42" s="23" t="s">
        <v>27</v>
      </c>
      <c r="G42" s="23" t="s">
        <v>26</v>
      </c>
      <c r="H42" s="23" t="s">
        <v>27</v>
      </c>
    </row>
    <row r="43" spans="2:8" ht="12.75">
      <c r="B43" s="6" t="s">
        <v>22</v>
      </c>
      <c r="C43" s="4"/>
      <c r="D43" s="4"/>
      <c r="E43" s="4"/>
      <c r="F43" s="4"/>
      <c r="G43" s="4"/>
      <c r="H43" s="7"/>
    </row>
    <row r="44" spans="2:8" ht="12.75">
      <c r="B44" s="322" t="s">
        <v>21</v>
      </c>
      <c r="C44" s="448"/>
      <c r="D44" s="536"/>
      <c r="E44" s="541">
        <v>30</v>
      </c>
      <c r="F44" s="313">
        <v>30</v>
      </c>
      <c r="G44" s="513"/>
      <c r="H44" s="9"/>
    </row>
    <row r="45" spans="2:8" ht="12.75">
      <c r="B45" s="270" t="s">
        <v>81</v>
      </c>
      <c r="C45" s="451">
        <v>3</v>
      </c>
      <c r="D45" s="515"/>
      <c r="E45" s="542" t="s">
        <v>235</v>
      </c>
      <c r="F45" s="325" t="s">
        <v>235</v>
      </c>
      <c r="G45" s="513">
        <f>IF(E45="X",$E$44*C45,0)/100+0.4</f>
        <v>1.3</v>
      </c>
      <c r="H45" s="3">
        <f>IF(F45="X",$F$44*C45,0)/100+0.4</f>
        <v>1.3</v>
      </c>
    </row>
    <row r="46" spans="2:8" ht="12.75">
      <c r="B46" s="270" t="s">
        <v>82</v>
      </c>
      <c r="C46" s="449">
        <f>0.8/14</f>
        <v>0.05714285714285715</v>
      </c>
      <c r="D46" s="515" t="s">
        <v>20</v>
      </c>
      <c r="E46" s="543" t="s">
        <v>12</v>
      </c>
      <c r="F46" s="314" t="s">
        <v>235</v>
      </c>
      <c r="G46" s="513">
        <f>IF(E46="X",$E$44*C46,0)/2</f>
        <v>0.8571428571428572</v>
      </c>
      <c r="H46" s="9">
        <f>IF(F46="X",$F$44*C46,0)/2</f>
        <v>0.8571428571428572</v>
      </c>
    </row>
    <row r="47" spans="2:8" ht="12.75">
      <c r="B47" s="270" t="s">
        <v>262</v>
      </c>
      <c r="C47" s="271">
        <v>0.75</v>
      </c>
      <c r="D47" s="515" t="s">
        <v>20</v>
      </c>
      <c r="E47" s="543"/>
      <c r="F47" s="314"/>
      <c r="G47" s="513">
        <f>IF(E47="X",$C$47,0)</f>
        <v>0</v>
      </c>
      <c r="H47" s="9">
        <f>+IF(F47="X",$C$47,0)</f>
        <v>0</v>
      </c>
    </row>
    <row r="48" spans="2:8" ht="13.5" thickBot="1">
      <c r="B48" s="275" t="s">
        <v>88</v>
      </c>
      <c r="C48" s="276">
        <v>1.5</v>
      </c>
      <c r="D48" s="516" t="s">
        <v>20</v>
      </c>
      <c r="E48" s="544"/>
      <c r="F48" s="320"/>
      <c r="G48" s="514">
        <f>IF($E$80="X",0,IF(E48="X",$C$48,0))</f>
        <v>0</v>
      </c>
      <c r="H48" s="9">
        <f>IF($E$80="X",0,IF(F48="X",$C$48,0))</f>
        <v>0</v>
      </c>
    </row>
    <row r="49" spans="2:8" ht="18.75" thickBot="1">
      <c r="B49" s="16" t="s">
        <v>84</v>
      </c>
      <c r="C49" s="17"/>
      <c r="D49" s="30"/>
      <c r="E49" s="17"/>
      <c r="F49" s="12"/>
      <c r="G49" s="407">
        <f>SUM(G45:G48)</f>
        <v>2.1571428571428575</v>
      </c>
      <c r="H49" s="408">
        <f>SUM(H45:H48)</f>
        <v>2.1571428571428575</v>
      </c>
    </row>
    <row r="50" spans="2:8" ht="18.75" thickBot="1">
      <c r="B50" s="16" t="s">
        <v>13</v>
      </c>
      <c r="C50" s="17"/>
      <c r="D50" s="30"/>
      <c r="E50" s="17"/>
      <c r="F50" s="12"/>
      <c r="G50" s="407">
        <f>G49+G40</f>
        <v>4.497142857142858</v>
      </c>
      <c r="H50" s="408">
        <f>H49+H39+H34</f>
        <v>4.497142857142857</v>
      </c>
    </row>
    <row r="51" spans="1:8" ht="37.5" customHeight="1" thickBot="1">
      <c r="A51" s="1"/>
      <c r="B51" s="14" t="s">
        <v>52</v>
      </c>
      <c r="C51" s="3"/>
      <c r="D51" s="31"/>
      <c r="E51" s="3"/>
      <c r="F51" s="3"/>
      <c r="G51" s="20"/>
      <c r="H51" s="20"/>
    </row>
    <row r="52" spans="1:8" ht="45.75" customHeight="1">
      <c r="A52" s="1"/>
      <c r="B52" s="68" t="s">
        <v>11</v>
      </c>
      <c r="C52" s="5" t="s">
        <v>25</v>
      </c>
      <c r="D52" s="23" t="s">
        <v>28</v>
      </c>
      <c r="E52" s="687" t="s">
        <v>87</v>
      </c>
      <c r="F52" s="687"/>
      <c r="G52" s="688" t="s">
        <v>31</v>
      </c>
      <c r="H52" s="689"/>
    </row>
    <row r="53" spans="2:8" ht="15.75">
      <c r="B53" s="57" t="s">
        <v>29</v>
      </c>
      <c r="C53" s="62"/>
      <c r="D53" s="55"/>
      <c r="E53" s="55"/>
      <c r="F53" s="55"/>
      <c r="G53" s="55" t="s">
        <v>15</v>
      </c>
      <c r="H53" s="56" t="s">
        <v>14</v>
      </c>
    </row>
    <row r="54" spans="2:8" ht="12.75">
      <c r="B54" s="10" t="s">
        <v>89</v>
      </c>
      <c r="C54" s="11"/>
      <c r="D54" s="24"/>
      <c r="E54" s="22">
        <f>(E66*1.05-E55)</f>
        <v>87.00753101004133</v>
      </c>
      <c r="F54" s="9"/>
      <c r="G54" s="13">
        <f>G50*E54/1000</f>
        <v>0.39128529659944317</v>
      </c>
      <c r="H54" s="9">
        <f>G54*1000/$E$66</f>
        <v>1.422855623997975</v>
      </c>
    </row>
    <row r="55" spans="2:8" ht="13.5" thickBot="1">
      <c r="B55" s="10" t="s">
        <v>90</v>
      </c>
      <c r="C55" s="11"/>
      <c r="D55" s="24"/>
      <c r="E55" s="22">
        <f>E58*E65*1.15/(F44*1.693)*IF(F46="X",2,1)*IF(E69="X",1.2,1.1)</f>
        <v>201.74246898995867</v>
      </c>
      <c r="F55" s="9"/>
      <c r="G55" s="13">
        <f>H50*E55/1000</f>
        <v>0.907264703400557</v>
      </c>
      <c r="H55" s="9">
        <f>G55*1000/$E$66</f>
        <v>3.2991443760020256</v>
      </c>
    </row>
    <row r="56" spans="2:8" ht="18.75" thickBot="1">
      <c r="B56" s="16" t="s">
        <v>23</v>
      </c>
      <c r="C56" s="17"/>
      <c r="D56" s="30"/>
      <c r="E56" s="17"/>
      <c r="F56" s="12"/>
      <c r="G56" s="415">
        <f>SUM(G54:G55)</f>
        <v>1.29855</v>
      </c>
      <c r="H56" s="412">
        <f>SUM(H54:H55)</f>
        <v>4.722</v>
      </c>
    </row>
    <row r="57" spans="2:8" ht="12.75">
      <c r="B57" s="8" t="s">
        <v>66</v>
      </c>
      <c r="C57" s="70">
        <v>0.8</v>
      </c>
      <c r="D57" s="24"/>
      <c r="E57" s="35"/>
      <c r="F57" s="9"/>
      <c r="G57" s="13">
        <f>IF(E46&lt;&gt;"X",E54*C57,0)/1000</f>
        <v>0</v>
      </c>
      <c r="H57" s="9">
        <f>G57*1000/$E$66</f>
        <v>0</v>
      </c>
    </row>
    <row r="58" spans="2:8" ht="13.5" thickBot="1">
      <c r="B58" s="326" t="s">
        <v>67</v>
      </c>
      <c r="C58" s="294">
        <v>1</v>
      </c>
      <c r="D58" s="327"/>
      <c r="E58" s="296">
        <v>27</v>
      </c>
      <c r="F58" s="328"/>
      <c r="G58" s="13">
        <f>E58*C58/100/(IF(E65&lt;90,INT(90/E65),1))</f>
        <v>0.27</v>
      </c>
      <c r="H58" s="9">
        <f>G58*1000/$E$66</f>
        <v>0.9818181818181818</v>
      </c>
    </row>
    <row r="59" spans="2:8" ht="18.75" thickBot="1">
      <c r="B59" s="16" t="s">
        <v>24</v>
      </c>
      <c r="C59" s="17"/>
      <c r="D59" s="30"/>
      <c r="E59" s="17"/>
      <c r="F59" s="12"/>
      <c r="G59" s="415">
        <f>G58+G57</f>
        <v>0.27</v>
      </c>
      <c r="H59" s="412">
        <f>H58+H57</f>
        <v>0.9818181818181818</v>
      </c>
    </row>
    <row r="60" spans="2:8" ht="18.75" thickBot="1">
      <c r="B60" s="16" t="s">
        <v>68</v>
      </c>
      <c r="C60" s="17"/>
      <c r="D60" s="30"/>
      <c r="E60" s="17"/>
      <c r="F60" s="12"/>
      <c r="G60" s="415">
        <f>G59+G56</f>
        <v>1.56855</v>
      </c>
      <c r="H60" s="412">
        <f>H59+H56</f>
        <v>5.703818181818182</v>
      </c>
    </row>
    <row r="61" spans="2:8" s="1" customFormat="1" ht="18.75">
      <c r="B61" s="25"/>
      <c r="C61" s="3"/>
      <c r="D61" s="31"/>
      <c r="E61" s="3"/>
      <c r="F61" s="3"/>
      <c r="G61" s="20"/>
      <c r="H61" s="20"/>
    </row>
    <row r="62" spans="2:8" ht="21" thickBot="1">
      <c r="B62" s="14" t="s">
        <v>53</v>
      </c>
      <c r="C62" s="3"/>
      <c r="D62" s="31"/>
      <c r="E62" s="3"/>
      <c r="F62" s="3"/>
      <c r="G62" s="20"/>
      <c r="H62" s="20"/>
    </row>
    <row r="63" spans="2:8" ht="40.5" customHeight="1">
      <c r="B63" s="68" t="s">
        <v>11</v>
      </c>
      <c r="C63" s="58" t="s">
        <v>241</v>
      </c>
      <c r="D63" s="23" t="s">
        <v>28</v>
      </c>
      <c r="E63" s="23" t="s">
        <v>32</v>
      </c>
      <c r="F63" s="23"/>
      <c r="G63" s="688" t="s">
        <v>31</v>
      </c>
      <c r="H63" s="689"/>
    </row>
    <row r="64" spans="2:8" ht="15.75">
      <c r="B64" s="57" t="s">
        <v>95</v>
      </c>
      <c r="C64" s="62"/>
      <c r="D64" s="62"/>
      <c r="E64" s="62"/>
      <c r="F64" s="62"/>
      <c r="G64" s="55" t="s">
        <v>15</v>
      </c>
      <c r="H64" s="56" t="s">
        <v>14</v>
      </c>
    </row>
    <row r="65" spans="2:8" ht="12.75">
      <c r="B65" s="340" t="s">
        <v>91</v>
      </c>
      <c r="C65" s="264"/>
      <c r="D65" s="330"/>
      <c r="E65" s="336">
        <v>150</v>
      </c>
      <c r="F65" s="334"/>
      <c r="G65" s="32"/>
      <c r="H65" s="24"/>
    </row>
    <row r="66" spans="2:8" ht="12.75">
      <c r="B66" s="341" t="s">
        <v>92</v>
      </c>
      <c r="C66" s="271"/>
      <c r="D66" s="331"/>
      <c r="E66" s="337">
        <v>275</v>
      </c>
      <c r="F66" s="335"/>
      <c r="G66" s="32"/>
      <c r="H66" s="24"/>
    </row>
    <row r="67" spans="2:8" ht="12.75">
      <c r="B67" s="33" t="s">
        <v>41</v>
      </c>
      <c r="C67" s="343" t="s">
        <v>37</v>
      </c>
      <c r="D67" s="332"/>
      <c r="E67" s="423"/>
      <c r="F67" s="9"/>
      <c r="G67" s="32"/>
      <c r="H67" s="24"/>
    </row>
    <row r="68" spans="2:8" ht="12.75">
      <c r="B68" s="288" t="s">
        <v>233</v>
      </c>
      <c r="C68" s="310">
        <v>0.2</v>
      </c>
      <c r="D68" s="331"/>
      <c r="E68" s="459">
        <f>IF(SUM($E$36:$E$38)&gt;0,"X","")</f>
      </c>
      <c r="F68" s="335"/>
      <c r="G68" s="13">
        <f>$G$60*IF(E68="x",C68,0)</f>
        <v>0</v>
      </c>
      <c r="H68" s="9">
        <f aca="true" t="shared" si="6" ref="H68:H77">G68*1000/$E$66</f>
        <v>0</v>
      </c>
    </row>
    <row r="69" spans="2:8" ht="12.75">
      <c r="B69" s="288" t="s">
        <v>234</v>
      </c>
      <c r="C69" s="310">
        <v>0.1</v>
      </c>
      <c r="D69" s="331"/>
      <c r="E69" s="459">
        <f>IF(SUM($F$36:$F$38)&gt;0,"X","")</f>
      </c>
      <c r="F69" s="335"/>
      <c r="G69" s="13">
        <f>IF($G$68+$G$72=0,$G$60*IF(E69="x",C69,0),0)</f>
        <v>0</v>
      </c>
      <c r="H69" s="9">
        <f t="shared" si="6"/>
        <v>0</v>
      </c>
    </row>
    <row r="70" spans="2:8" ht="12.75">
      <c r="B70" s="341" t="s">
        <v>257</v>
      </c>
      <c r="C70" s="310">
        <v>0.1</v>
      </c>
      <c r="D70" s="331" t="s">
        <v>20</v>
      </c>
      <c r="E70" s="337" t="s">
        <v>235</v>
      </c>
      <c r="F70" s="335"/>
      <c r="G70" s="13">
        <f>$G$60*IF(E70="x",C70,0)*IF($G$68&gt;0,0,1)</f>
        <v>0.15685500000000002</v>
      </c>
      <c r="H70" s="9">
        <f t="shared" si="6"/>
        <v>0.5703818181818182</v>
      </c>
    </row>
    <row r="71" spans="2:8" ht="12.75">
      <c r="B71" s="341" t="s">
        <v>258</v>
      </c>
      <c r="C71" s="310">
        <v>0.04</v>
      </c>
      <c r="D71" s="331" t="s">
        <v>20</v>
      </c>
      <c r="E71" s="337"/>
      <c r="F71" s="335"/>
      <c r="G71" s="13">
        <f>$G$60*IF(E71="x",C71,0)*IF($G$68&gt;0,0,1)</f>
        <v>0</v>
      </c>
      <c r="H71" s="9">
        <f t="shared" si="6"/>
        <v>0</v>
      </c>
    </row>
    <row r="72" spans="2:8" ht="12.75">
      <c r="B72" s="341" t="s">
        <v>125</v>
      </c>
      <c r="C72" s="310">
        <v>0.1</v>
      </c>
      <c r="D72" s="331" t="s">
        <v>20</v>
      </c>
      <c r="E72" s="337"/>
      <c r="F72" s="335"/>
      <c r="G72" s="13">
        <f>$G$60*IF(E72="x",C72,0)*IF($G$68&gt;0,0,1)</f>
        <v>0</v>
      </c>
      <c r="H72" s="9">
        <f t="shared" si="6"/>
        <v>0</v>
      </c>
    </row>
    <row r="73" spans="2:8" ht="12.75">
      <c r="B73" s="341" t="s">
        <v>34</v>
      </c>
      <c r="C73" s="310">
        <v>0.08</v>
      </c>
      <c r="D73" s="331" t="s">
        <v>20</v>
      </c>
      <c r="E73" s="337"/>
      <c r="F73" s="335"/>
      <c r="G73" s="13">
        <f>$G$60*IF(E73="x",C73,0)*IF($G$68+$G$69&gt;0,0,1)</f>
        <v>0</v>
      </c>
      <c r="H73" s="9">
        <f t="shared" si="6"/>
        <v>0</v>
      </c>
    </row>
    <row r="74" spans="2:8" ht="12.75">
      <c r="B74" s="341" t="s">
        <v>35</v>
      </c>
      <c r="C74" s="310">
        <v>0.1</v>
      </c>
      <c r="D74" s="331" t="s">
        <v>20</v>
      </c>
      <c r="E74" s="337"/>
      <c r="F74" s="335"/>
      <c r="G74" s="13">
        <f>$G$60*IF(E74="x",C74,0)*IF($G$68+$G$69&gt;0,0,1)</f>
        <v>0</v>
      </c>
      <c r="H74" s="9">
        <f t="shared" si="6"/>
        <v>0</v>
      </c>
    </row>
    <row r="75" spans="2:8" ht="12.75">
      <c r="B75" s="341" t="s">
        <v>271</v>
      </c>
      <c r="C75" s="310">
        <v>0.07</v>
      </c>
      <c r="D75" s="331" t="s">
        <v>20</v>
      </c>
      <c r="E75" s="337"/>
      <c r="F75" s="335"/>
      <c r="G75" s="13">
        <f>$G$60*IF(E75="x",C75,0)*IF($G$68+$G$69&gt;0,0,1)</f>
        <v>0</v>
      </c>
      <c r="H75" s="9">
        <f t="shared" si="6"/>
        <v>0</v>
      </c>
    </row>
    <row r="76" spans="2:8" ht="12.75">
      <c r="B76" s="341" t="s">
        <v>36</v>
      </c>
      <c r="C76" s="310">
        <v>0.08</v>
      </c>
      <c r="D76" s="331" t="s">
        <v>20</v>
      </c>
      <c r="E76" s="337"/>
      <c r="F76" s="335"/>
      <c r="G76" s="13">
        <f>$G$60*IF(E76="x",C76,0)*IF($G$68+$G$69&gt;0,0,1)</f>
        <v>0</v>
      </c>
      <c r="H76" s="9">
        <f t="shared" si="6"/>
        <v>0</v>
      </c>
    </row>
    <row r="77" spans="2:8" ht="12.75">
      <c r="B77" s="33" t="s">
        <v>251</v>
      </c>
      <c r="C77" s="344" t="s">
        <v>252</v>
      </c>
      <c r="D77" s="332"/>
      <c r="E77" s="337"/>
      <c r="F77" s="9"/>
      <c r="G77" s="13">
        <f>$G$60*IF(E77="x",C77,0)*IF($G$68+$G$69&gt;0,0,1)</f>
        <v>0</v>
      </c>
      <c r="H77" s="9">
        <f t="shared" si="6"/>
        <v>0</v>
      </c>
    </row>
    <row r="78" spans="2:8" ht="12.75">
      <c r="B78" s="342" t="s">
        <v>253</v>
      </c>
      <c r="C78" s="271">
        <v>0.7</v>
      </c>
      <c r="D78" s="331" t="s">
        <v>20</v>
      </c>
      <c r="E78" s="337"/>
      <c r="F78" s="335"/>
      <c r="G78" s="13">
        <f>IF(E78="x",C78,0)/(IF(E65&lt;90,INT(90/E65),1))</f>
        <v>0</v>
      </c>
      <c r="H78" s="9">
        <f aca="true" t="shared" si="7" ref="H78:H85">G78*1000/$E$66</f>
        <v>0</v>
      </c>
    </row>
    <row r="79" spans="2:8" ht="12.75">
      <c r="B79" s="342" t="s">
        <v>254</v>
      </c>
      <c r="C79" s="271">
        <v>0.3</v>
      </c>
      <c r="D79" s="331" t="s">
        <v>20</v>
      </c>
      <c r="E79" s="337"/>
      <c r="F79" s="335"/>
      <c r="G79" s="13">
        <f>IF(E79="x",C79,0)/(IF(E65&lt;90,INT(90/E65),1))</f>
        <v>0</v>
      </c>
      <c r="H79" s="9">
        <f t="shared" si="7"/>
        <v>0</v>
      </c>
    </row>
    <row r="80" spans="2:8" ht="12.75">
      <c r="B80" s="342" t="s">
        <v>255</v>
      </c>
      <c r="C80" s="271">
        <v>0.55</v>
      </c>
      <c r="D80" s="331" t="s">
        <v>20</v>
      </c>
      <c r="E80" s="337" t="s">
        <v>12</v>
      </c>
      <c r="F80" s="335"/>
      <c r="G80" s="13">
        <f>IF(E80="x",C80,0)/(IF(E65&lt;90,INT(90/E65),1))</f>
        <v>0.55</v>
      </c>
      <c r="H80" s="9">
        <f t="shared" si="7"/>
        <v>2</v>
      </c>
    </row>
    <row r="81" spans="2:8" ht="12.75">
      <c r="B81" s="342" t="s">
        <v>281</v>
      </c>
      <c r="C81" s="271">
        <v>1.2</v>
      </c>
      <c r="D81" s="331" t="s">
        <v>20</v>
      </c>
      <c r="E81" s="337"/>
      <c r="F81" s="335"/>
      <c r="G81" s="13">
        <f>H81/(1000/$E$66)</f>
        <v>0</v>
      </c>
      <c r="H81" s="9">
        <f>IF(E81="x",C81,0)</f>
        <v>0</v>
      </c>
    </row>
    <row r="82" spans="2:8" ht="12.75">
      <c r="B82" s="342" t="s">
        <v>280</v>
      </c>
      <c r="C82" s="271">
        <v>1.8</v>
      </c>
      <c r="D82" s="331" t="s">
        <v>20</v>
      </c>
      <c r="E82" s="337"/>
      <c r="F82" s="335"/>
      <c r="G82" s="13">
        <f>H82/(1000/$E$66)</f>
        <v>0</v>
      </c>
      <c r="H82" s="9">
        <f>IF(E82="x",C82,0)</f>
        <v>0</v>
      </c>
    </row>
    <row r="83" spans="2:8" ht="12.75">
      <c r="B83" s="342" t="s">
        <v>259</v>
      </c>
      <c r="C83" s="271">
        <v>0.7</v>
      </c>
      <c r="D83" s="331" t="s">
        <v>20</v>
      </c>
      <c r="E83" s="337"/>
      <c r="F83" s="335"/>
      <c r="G83" s="13">
        <f>IF(E83="x",C83,0)/(IF(E65&lt;90,INT(90/E65),1))</f>
        <v>0</v>
      </c>
      <c r="H83" s="9">
        <f t="shared" si="7"/>
        <v>0</v>
      </c>
    </row>
    <row r="84" spans="2:8" ht="12.75">
      <c r="B84" s="288" t="s">
        <v>245</v>
      </c>
      <c r="C84" s="266">
        <v>0.2</v>
      </c>
      <c r="D84" s="291" t="s">
        <v>20</v>
      </c>
      <c r="E84" s="337"/>
      <c r="F84" s="286"/>
      <c r="G84" s="13">
        <f>IF(E84="x",C84,0)/(IF(E65&lt;90,INT(90/E65),1))</f>
        <v>0</v>
      </c>
      <c r="H84" s="9">
        <f t="shared" si="7"/>
        <v>0</v>
      </c>
    </row>
    <row r="85" spans="2:8" ht="12.75">
      <c r="B85" s="342" t="s">
        <v>242</v>
      </c>
      <c r="C85" s="271">
        <v>0.3</v>
      </c>
      <c r="D85" s="331" t="s">
        <v>20</v>
      </c>
      <c r="E85" s="337"/>
      <c r="F85" s="335"/>
      <c r="G85" s="13">
        <f>IF(E85="x",C85,0)/(IF(E65&lt;90,INT(90/E65),1))</f>
        <v>0</v>
      </c>
      <c r="H85" s="9">
        <f t="shared" si="7"/>
        <v>0</v>
      </c>
    </row>
    <row r="86" spans="2:8" ht="13.5" thickBot="1">
      <c r="B86" s="10"/>
      <c r="C86" s="345"/>
      <c r="D86" s="333"/>
      <c r="E86" s="339"/>
      <c r="F86" s="9"/>
      <c r="G86" s="13"/>
      <c r="H86" s="9"/>
    </row>
    <row r="87" spans="2:8" ht="18.75" thickBot="1">
      <c r="B87" s="16" t="s">
        <v>33</v>
      </c>
      <c r="C87" s="17"/>
      <c r="D87" s="30"/>
      <c r="E87" s="236"/>
      <c r="F87" s="12"/>
      <c r="G87" s="415">
        <f>SUM(G65:G86)</f>
        <v>0.706855</v>
      </c>
      <c r="H87" s="412">
        <f>SUM(H65:H86)</f>
        <v>2.570381818181818</v>
      </c>
    </row>
    <row r="88" spans="2:8" ht="18.75" thickBot="1">
      <c r="B88" s="16" t="s">
        <v>94</v>
      </c>
      <c r="C88" s="17"/>
      <c r="D88" s="30"/>
      <c r="E88" s="236"/>
      <c r="F88" s="12"/>
      <c r="G88" s="453">
        <f>G87+G60</f>
        <v>2.275405</v>
      </c>
      <c r="H88" s="412">
        <f>H87+H60</f>
        <v>8.2742</v>
      </c>
    </row>
    <row r="89" ht="12.75">
      <c r="F89" s="3"/>
    </row>
    <row r="90" spans="2:8" ht="16.5">
      <c r="B90" s="477" t="s">
        <v>284</v>
      </c>
      <c r="C90" s="470"/>
      <c r="D90" s="471"/>
      <c r="E90" s="470"/>
      <c r="F90" s="472"/>
      <c r="G90" s="468"/>
      <c r="H90" s="468"/>
    </row>
    <row r="91" spans="2:8" ht="16.5">
      <c r="B91" s="469" t="s">
        <v>282</v>
      </c>
      <c r="C91" s="473"/>
      <c r="D91" s="474"/>
      <c r="E91" s="474"/>
      <c r="F91" s="475"/>
      <c r="G91" s="474"/>
      <c r="H91" s="474"/>
    </row>
    <row r="92" spans="2:8" ht="16.5">
      <c r="B92" s="476" t="s">
        <v>283</v>
      </c>
      <c r="C92" s="473"/>
      <c r="D92" s="474"/>
      <c r="E92" s="474"/>
      <c r="F92" s="474"/>
      <c r="G92" s="474"/>
      <c r="H92" s="474"/>
    </row>
  </sheetData>
  <sheetProtection password="E868" sheet="1" objects="1" scenarios="1"/>
  <mergeCells count="4">
    <mergeCell ref="G52:H52"/>
    <mergeCell ref="G63:H63"/>
    <mergeCell ref="B4:H4"/>
    <mergeCell ref="E52:F52"/>
  </mergeCells>
  <conditionalFormatting sqref="E39:F39">
    <cfRule type="expression" priority="1" dxfId="2" stopIfTrue="1">
      <formula>SUM(E7:E38)&lt;&gt;100</formula>
    </cfRule>
  </conditionalFormatting>
  <conditionalFormatting sqref="G44:H48 G36:H38 G8:H33">
    <cfRule type="cellIs" priority="2" dxfId="1" operator="greaterThan" stopIfTrue="1">
      <formula>0</formula>
    </cfRule>
  </conditionalFormatting>
  <conditionalFormatting sqref="G58:H58 F57:H57 G54:H55 G65:G66 G68:H86">
    <cfRule type="cellIs" priority="3" dxfId="0" operator="greaterThan" stopIfTrue="1">
      <formula>0</formula>
    </cfRule>
  </conditionalFormatting>
  <printOptions horizontalCentered="1"/>
  <pageMargins left="0.2362204724409449" right="0.2755905511811024" top="0.4724409448818898" bottom="0.2755905511811024" header="0.2362204724409449" footer="0.2362204724409449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7"/>
  <sheetViews>
    <sheetView showZeros="0" zoomScale="95" zoomScaleNormal="95" zoomScalePageLayoutView="0" workbookViewId="0" topLeftCell="A4">
      <selection activeCell="F42" sqref="F42:G42"/>
    </sheetView>
  </sheetViews>
  <sheetFormatPr defaultColWidth="9.140625" defaultRowHeight="12.75"/>
  <cols>
    <col min="1" max="1" width="33.421875" style="0" customWidth="1"/>
    <col min="2" max="2" width="13.7109375" style="0" customWidth="1"/>
    <col min="3" max="3" width="10.8515625" style="0" customWidth="1"/>
    <col min="4" max="4" width="12.28125" style="0" customWidth="1"/>
    <col min="5" max="5" width="11.8515625" style="0" customWidth="1"/>
    <col min="6" max="6" width="15.28125" style="0" customWidth="1"/>
    <col min="7" max="7" width="16.00390625" style="0" customWidth="1"/>
    <col min="8" max="10" width="9.140625" style="34" customWidth="1"/>
  </cols>
  <sheetData>
    <row r="1" s="34" customFormat="1" ht="13.5" thickBot="1"/>
    <row r="2" spans="1:13" ht="27">
      <c r="A2" s="692" t="s">
        <v>289</v>
      </c>
      <c r="B2" s="693"/>
      <c r="C2" s="693"/>
      <c r="D2" s="693"/>
      <c r="E2" s="693"/>
      <c r="F2" s="693"/>
      <c r="G2" s="694"/>
      <c r="H2" s="38"/>
      <c r="I2" s="38"/>
      <c r="J2" s="38"/>
      <c r="K2" s="36"/>
      <c r="L2" s="36"/>
      <c r="M2" s="36"/>
    </row>
    <row r="3" spans="1:13" ht="48.75" customHeight="1" thickBot="1">
      <c r="A3" s="695"/>
      <c r="B3" s="696"/>
      <c r="C3" s="696"/>
      <c r="D3" s="696"/>
      <c r="E3" s="696"/>
      <c r="F3" s="696"/>
      <c r="G3" s="697"/>
      <c r="H3" s="38"/>
      <c r="I3" s="38"/>
      <c r="J3" s="38"/>
      <c r="K3" s="36"/>
      <c r="L3" s="36"/>
      <c r="M3" s="36"/>
    </row>
    <row r="4" spans="1:13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6"/>
      <c r="L4" s="36"/>
      <c r="M4" s="36"/>
    </row>
    <row r="5" spans="1:7" s="34" customFormat="1" ht="24.75" customHeight="1" thickBot="1">
      <c r="A5" s="39" t="s">
        <v>16</v>
      </c>
      <c r="B5" s="40"/>
      <c r="C5" s="40"/>
      <c r="D5" s="41"/>
      <c r="E5" s="41"/>
      <c r="F5" s="40"/>
      <c r="G5" s="190" t="s">
        <v>212</v>
      </c>
    </row>
    <row r="6" spans="1:7" ht="38.25">
      <c r="A6" s="54" t="s">
        <v>0</v>
      </c>
      <c r="B6" s="58" t="s">
        <v>69</v>
      </c>
      <c r="C6" s="58" t="s">
        <v>101</v>
      </c>
      <c r="D6" s="59" t="s">
        <v>78</v>
      </c>
      <c r="E6" s="59" t="s">
        <v>79</v>
      </c>
      <c r="F6" s="58" t="s">
        <v>73</v>
      </c>
      <c r="G6" s="60" t="s">
        <v>74</v>
      </c>
    </row>
    <row r="7" spans="1:7" ht="15.75">
      <c r="A7" s="65" t="s">
        <v>96</v>
      </c>
      <c r="B7" s="63" t="s">
        <v>70</v>
      </c>
      <c r="C7" s="63" t="s">
        <v>71</v>
      </c>
      <c r="D7" s="66" t="s">
        <v>77</v>
      </c>
      <c r="E7" s="66" t="s">
        <v>77</v>
      </c>
      <c r="F7" s="63" t="s">
        <v>71</v>
      </c>
      <c r="G7" s="64" t="s">
        <v>71</v>
      </c>
    </row>
    <row r="8" spans="1:7" ht="12.75">
      <c r="A8" s="263" t="s">
        <v>246</v>
      </c>
      <c r="B8" s="264">
        <v>1.03</v>
      </c>
      <c r="C8" s="462">
        <v>2.59</v>
      </c>
      <c r="D8" s="503"/>
      <c r="E8" s="274"/>
      <c r="F8" s="435">
        <f aca="true" t="shared" si="0" ref="F8:F14">B8*C8*D8/100</f>
        <v>0</v>
      </c>
      <c r="G8" s="299">
        <f aca="true" t="shared" si="1" ref="G8:G14">B8*E8*C8/100</f>
        <v>0</v>
      </c>
    </row>
    <row r="9" spans="1:7" ht="12.75">
      <c r="A9" s="265" t="s">
        <v>247</v>
      </c>
      <c r="B9" s="266">
        <v>1.03</v>
      </c>
      <c r="C9" s="463">
        <v>2.68</v>
      </c>
      <c r="D9" s="506"/>
      <c r="E9" s="267"/>
      <c r="F9" s="435">
        <f t="shared" si="0"/>
        <v>0</v>
      </c>
      <c r="G9" s="299">
        <f t="shared" si="1"/>
        <v>0</v>
      </c>
    </row>
    <row r="10" spans="1:7" ht="12.75">
      <c r="A10" s="265" t="s">
        <v>42</v>
      </c>
      <c r="B10" s="266">
        <v>1.03</v>
      </c>
      <c r="C10" s="424">
        <v>2.88</v>
      </c>
      <c r="D10" s="506"/>
      <c r="E10" s="267"/>
      <c r="F10" s="436">
        <f t="shared" si="0"/>
        <v>0</v>
      </c>
      <c r="G10" s="300">
        <f t="shared" si="1"/>
        <v>0</v>
      </c>
    </row>
    <row r="11" spans="1:7" ht="12.75">
      <c r="A11" s="265" t="s">
        <v>248</v>
      </c>
      <c r="B11" s="266">
        <v>1.03</v>
      </c>
      <c r="C11" s="424">
        <v>3.13</v>
      </c>
      <c r="D11" s="506"/>
      <c r="E11" s="267"/>
      <c r="F11" s="436">
        <f t="shared" si="0"/>
        <v>0</v>
      </c>
      <c r="G11" s="300">
        <f t="shared" si="1"/>
        <v>0</v>
      </c>
    </row>
    <row r="12" spans="1:7" ht="12.75">
      <c r="A12" s="265" t="s">
        <v>225</v>
      </c>
      <c r="B12" s="266">
        <v>1.03</v>
      </c>
      <c r="C12" s="424">
        <v>3.5</v>
      </c>
      <c r="D12" s="506">
        <v>100</v>
      </c>
      <c r="E12" s="267">
        <v>100</v>
      </c>
      <c r="F12" s="436">
        <f t="shared" si="0"/>
        <v>3.605</v>
      </c>
      <c r="G12" s="300">
        <f t="shared" si="1"/>
        <v>3.605</v>
      </c>
    </row>
    <row r="13" spans="1:7" ht="12.75">
      <c r="A13" s="265" t="s">
        <v>231</v>
      </c>
      <c r="B13" s="266">
        <v>1.04</v>
      </c>
      <c r="C13" s="424">
        <v>3.5</v>
      </c>
      <c r="D13" s="506"/>
      <c r="E13" s="267"/>
      <c r="F13" s="436">
        <f>B13*C13*D13/100</f>
        <v>0</v>
      </c>
      <c r="G13" s="300">
        <f>B13*E13*C13/100</f>
        <v>0</v>
      </c>
    </row>
    <row r="14" spans="1:7" ht="12.75">
      <c r="A14" s="265" t="s">
        <v>43</v>
      </c>
      <c r="B14" s="266">
        <v>1.05</v>
      </c>
      <c r="C14" s="424">
        <v>3.44</v>
      </c>
      <c r="D14" s="506"/>
      <c r="E14" s="267"/>
      <c r="F14" s="436">
        <f t="shared" si="0"/>
        <v>0</v>
      </c>
      <c r="G14" s="300">
        <f t="shared" si="1"/>
        <v>0</v>
      </c>
    </row>
    <row r="15" spans="1:7" ht="12.75">
      <c r="A15" s="429" t="s">
        <v>44</v>
      </c>
      <c r="B15" s="430">
        <v>1.03</v>
      </c>
      <c r="C15" s="425">
        <v>3.96</v>
      </c>
      <c r="D15" s="531"/>
      <c r="E15" s="440"/>
      <c r="F15" s="436">
        <f aca="true" t="shared" si="2" ref="F15:F25">B15*C15*D15/100</f>
        <v>0</v>
      </c>
      <c r="G15" s="300">
        <f aca="true" t="shared" si="3" ref="G15:G25">B15*E15*C15/100</f>
        <v>0</v>
      </c>
    </row>
    <row r="16" spans="1:7" ht="12.75" customHeight="1">
      <c r="A16" s="698" t="s">
        <v>260</v>
      </c>
      <c r="B16" s="700">
        <v>1.08</v>
      </c>
      <c r="C16" s="701">
        <v>3.5</v>
      </c>
      <c r="D16" s="705"/>
      <c r="E16" s="707"/>
      <c r="F16" s="703">
        <f>B16*C16*D16/100</f>
        <v>0</v>
      </c>
      <c r="G16" s="704">
        <f>B16*E16*C16/100</f>
        <v>0</v>
      </c>
    </row>
    <row r="17" spans="1:7" ht="12.75">
      <c r="A17" s="699"/>
      <c r="B17" s="700"/>
      <c r="C17" s="702"/>
      <c r="D17" s="706"/>
      <c r="E17" s="708"/>
      <c r="F17" s="703">
        <f>B17*C17*D17/100</f>
        <v>0</v>
      </c>
      <c r="G17" s="704">
        <f>B17*E17*C17/100</f>
        <v>0</v>
      </c>
    </row>
    <row r="18" spans="1:7" ht="12.75">
      <c r="A18" s="457" t="s">
        <v>261</v>
      </c>
      <c r="B18" s="266">
        <v>1.08</v>
      </c>
      <c r="C18" s="431">
        <v>8</v>
      </c>
      <c r="D18" s="503"/>
      <c r="E18" s="441"/>
      <c r="F18" s="439">
        <f>B18*C18*D18/100</f>
        <v>0</v>
      </c>
      <c r="G18" s="433">
        <f>B18*E18*C18/100</f>
        <v>0</v>
      </c>
    </row>
    <row r="19" spans="1:7" ht="12.75">
      <c r="A19" s="456" t="s">
        <v>273</v>
      </c>
      <c r="B19" s="430">
        <v>1.15</v>
      </c>
      <c r="C19" s="431">
        <v>13</v>
      </c>
      <c r="D19" s="503"/>
      <c r="E19" s="441"/>
      <c r="F19" s="439">
        <f>B19*C19*D19/100</f>
        <v>0</v>
      </c>
      <c r="G19" s="433">
        <f>B19*E19*C19/100</f>
        <v>0</v>
      </c>
    </row>
    <row r="20" spans="1:7" ht="12.75">
      <c r="A20" s="270" t="s">
        <v>274</v>
      </c>
      <c r="B20" s="430">
        <v>1.15</v>
      </c>
      <c r="C20" s="431">
        <v>16</v>
      </c>
      <c r="D20" s="503"/>
      <c r="E20" s="441"/>
      <c r="F20" s="439">
        <f>B20*C20*D20/100</f>
        <v>0</v>
      </c>
      <c r="G20" s="433">
        <f>B20*E20*C20/100</f>
        <v>0</v>
      </c>
    </row>
    <row r="21" spans="1:7" ht="12.75">
      <c r="A21" s="272" t="s">
        <v>275</v>
      </c>
      <c r="B21" s="266">
        <v>1.15</v>
      </c>
      <c r="C21" s="424">
        <v>2.85</v>
      </c>
      <c r="D21" s="506"/>
      <c r="E21" s="267"/>
      <c r="F21" s="436">
        <f t="shared" si="2"/>
        <v>0</v>
      </c>
      <c r="G21" s="300">
        <f t="shared" si="3"/>
        <v>0</v>
      </c>
    </row>
    <row r="22" spans="1:7" ht="12.75">
      <c r="A22" s="265" t="s">
        <v>276</v>
      </c>
      <c r="B22" s="266">
        <v>1.08</v>
      </c>
      <c r="C22" s="424">
        <v>3.65</v>
      </c>
      <c r="D22" s="506"/>
      <c r="E22" s="267"/>
      <c r="F22" s="436">
        <f t="shared" si="2"/>
        <v>0</v>
      </c>
      <c r="G22" s="300">
        <f t="shared" si="3"/>
        <v>0</v>
      </c>
    </row>
    <row r="23" spans="1:7" ht="12.75">
      <c r="A23" s="265" t="s">
        <v>277</v>
      </c>
      <c r="B23" s="266">
        <v>1.2</v>
      </c>
      <c r="C23" s="424">
        <v>4.8</v>
      </c>
      <c r="D23" s="506"/>
      <c r="E23" s="267"/>
      <c r="F23" s="436">
        <f t="shared" si="2"/>
        <v>0</v>
      </c>
      <c r="G23" s="300">
        <f t="shared" si="3"/>
        <v>0</v>
      </c>
    </row>
    <row r="24" spans="1:7" ht="12.75">
      <c r="A24" s="265" t="s">
        <v>278</v>
      </c>
      <c r="B24" s="266">
        <v>1.12</v>
      </c>
      <c r="C24" s="424">
        <v>4.25</v>
      </c>
      <c r="D24" s="506"/>
      <c r="E24" s="267"/>
      <c r="F24" s="436">
        <f t="shared" si="2"/>
        <v>0</v>
      </c>
      <c r="G24" s="300">
        <f t="shared" si="3"/>
        <v>0</v>
      </c>
    </row>
    <row r="25" spans="1:7" ht="13.5" thickBot="1">
      <c r="A25" s="77" t="s">
        <v>279</v>
      </c>
      <c r="B25" s="298">
        <v>1.15</v>
      </c>
      <c r="C25" s="247">
        <v>4.65</v>
      </c>
      <c r="D25" s="506"/>
      <c r="E25" s="267"/>
      <c r="F25" s="437">
        <f t="shared" si="2"/>
        <v>0</v>
      </c>
      <c r="G25" s="438">
        <f t="shared" si="3"/>
        <v>0</v>
      </c>
    </row>
    <row r="26" spans="1:7" ht="18">
      <c r="A26" s="15" t="s">
        <v>18</v>
      </c>
      <c r="B26" s="78"/>
      <c r="C26" s="530"/>
      <c r="D26" s="253"/>
      <c r="E26" s="256"/>
      <c r="F26" s="405">
        <f>SUM(F8:F25)</f>
        <v>3.605</v>
      </c>
      <c r="G26" s="406">
        <f>SUM(G8:G25)</f>
        <v>3.605</v>
      </c>
    </row>
    <row r="27" spans="1:7" ht="12.75">
      <c r="A27" s="6" t="s">
        <v>57</v>
      </c>
      <c r="B27" s="4"/>
      <c r="C27" s="4"/>
      <c r="D27" s="532"/>
      <c r="E27" s="255"/>
      <c r="F27" s="4"/>
      <c r="G27" s="7"/>
    </row>
    <row r="28" spans="1:7" ht="12.75">
      <c r="A28" s="263" t="s">
        <v>122</v>
      </c>
      <c r="B28" s="264">
        <v>1.01</v>
      </c>
      <c r="C28" s="504">
        <v>10</v>
      </c>
      <c r="D28" s="503"/>
      <c r="E28" s="274"/>
      <c r="F28" s="80">
        <f>B28*C28*D28/100</f>
        <v>0</v>
      </c>
      <c r="G28" s="69">
        <f>B28*E28*C28/100</f>
        <v>0</v>
      </c>
    </row>
    <row r="29" spans="1:7" ht="12.75">
      <c r="A29" s="270" t="s">
        <v>123</v>
      </c>
      <c r="B29" s="271">
        <v>1.01</v>
      </c>
      <c r="C29" s="425">
        <v>10</v>
      </c>
      <c r="D29" s="506"/>
      <c r="E29" s="268"/>
      <c r="F29" s="80">
        <f>B29*C29*D29/100</f>
        <v>0</v>
      </c>
      <c r="G29" s="69">
        <f>B29*E29*C29/100</f>
        <v>0</v>
      </c>
    </row>
    <row r="30" spans="1:7" ht="13.5" thickBot="1">
      <c r="A30" s="275" t="s">
        <v>124</v>
      </c>
      <c r="B30" s="276">
        <v>1.01</v>
      </c>
      <c r="C30" s="505">
        <v>20</v>
      </c>
      <c r="D30" s="507"/>
      <c r="E30" s="278"/>
      <c r="F30" s="81">
        <f>B30*C30*D30/100</f>
        <v>0</v>
      </c>
      <c r="G30" s="69">
        <f>B30*E30*C30/100</f>
        <v>0</v>
      </c>
    </row>
    <row r="31" spans="1:7" ht="19.5" thickBot="1">
      <c r="A31" s="16" t="s">
        <v>58</v>
      </c>
      <c r="B31" s="17"/>
      <c r="C31" s="74"/>
      <c r="D31" s="239" t="s">
        <v>222</v>
      </c>
      <c r="E31" s="239" t="s">
        <v>222</v>
      </c>
      <c r="F31" s="52">
        <f>SUM(F28:F30)</f>
        <v>0</v>
      </c>
      <c r="G31" s="53">
        <f>SUM(G28:G30)</f>
        <v>0</v>
      </c>
    </row>
    <row r="32" spans="1:7" ht="18.75" thickBot="1">
      <c r="A32" s="16" t="s">
        <v>19</v>
      </c>
      <c r="B32" s="73"/>
      <c r="C32" s="74"/>
      <c r="D32" s="73"/>
      <c r="E32" s="12"/>
      <c r="F32" s="407">
        <f>F31+F26</f>
        <v>3.605</v>
      </c>
      <c r="G32" s="408">
        <f>G31+G26</f>
        <v>3.605</v>
      </c>
    </row>
    <row r="33" spans="1:7" ht="25.5" customHeight="1" thickBot="1">
      <c r="A33" s="39" t="s">
        <v>17</v>
      </c>
      <c r="B33" s="40"/>
      <c r="C33" s="42"/>
      <c r="D33" s="42"/>
      <c r="E33" s="42"/>
      <c r="F33" s="42"/>
      <c r="G33" s="42"/>
    </row>
    <row r="34" spans="1:7" ht="38.25">
      <c r="A34" s="21"/>
      <c r="B34" s="5" t="s">
        <v>25</v>
      </c>
      <c r="C34" s="23" t="s">
        <v>28</v>
      </c>
      <c r="D34" s="23" t="s">
        <v>45</v>
      </c>
      <c r="E34" s="23" t="s">
        <v>46</v>
      </c>
      <c r="F34" s="23" t="s">
        <v>26</v>
      </c>
      <c r="G34" s="23" t="s">
        <v>27</v>
      </c>
    </row>
    <row r="35" spans="1:7" ht="12.75">
      <c r="A35" s="6" t="s">
        <v>22</v>
      </c>
      <c r="B35" s="4"/>
      <c r="C35" s="4"/>
      <c r="D35" s="4"/>
      <c r="E35" s="4"/>
      <c r="F35" s="4"/>
      <c r="G35" s="7"/>
    </row>
    <row r="36" spans="1:7" ht="12.75">
      <c r="A36" s="272" t="s">
        <v>47</v>
      </c>
      <c r="B36" s="282"/>
      <c r="C36" s="533"/>
      <c r="D36" s="503">
        <v>120</v>
      </c>
      <c r="E36" s="274">
        <v>120</v>
      </c>
      <c r="F36" s="80"/>
      <c r="G36" s="9"/>
    </row>
    <row r="37" spans="1:7" ht="12.75">
      <c r="A37" s="265" t="s">
        <v>232</v>
      </c>
      <c r="B37" s="266">
        <v>0.01</v>
      </c>
      <c r="C37" s="534"/>
      <c r="D37" s="506">
        <v>1200</v>
      </c>
      <c r="E37" s="268">
        <v>1200</v>
      </c>
      <c r="F37" s="248">
        <f>9/D36*IF(D36&gt;175,0.0134,IF(D36&gt;135,0.0134,IF(D36&gt;110,0.012,IF(D36&gt;85,0.011,IF(D36&gt;59,0.0095,IF(D36&gt;49,0.0072,0.0065))))))*D37</f>
        <v>1.08</v>
      </c>
      <c r="G37" s="248">
        <f>9/E36*IF(E36&gt;175,0.0134,IF(E36&gt;135,0.0134,IF(E36&gt;110,0.012,IF(E36&gt;85,0.011,IF(E36&gt;59,0.0095,IF(E36&gt;49,0.0072,0.0065))))))*E37</f>
        <v>1.08</v>
      </c>
    </row>
    <row r="38" spans="1:7" ht="13.5" thickBot="1">
      <c r="A38" s="280" t="s">
        <v>97</v>
      </c>
      <c r="B38" s="298">
        <v>1.5</v>
      </c>
      <c r="C38" s="535" t="s">
        <v>20</v>
      </c>
      <c r="D38" s="507"/>
      <c r="E38" s="278"/>
      <c r="F38" s="80">
        <f>IF(D38="X",$B$38,0)</f>
        <v>0</v>
      </c>
      <c r="G38" s="9">
        <f>+IF(E38="X",$B$38,0)</f>
        <v>0</v>
      </c>
    </row>
    <row r="39" spans="1:7" ht="19.5" thickBot="1">
      <c r="A39" s="16" t="s">
        <v>84</v>
      </c>
      <c r="B39" s="73"/>
      <c r="C39" s="74"/>
      <c r="D39" s="73"/>
      <c r="E39" s="12"/>
      <c r="F39" s="82">
        <f>SUM(F37:F38)</f>
        <v>1.08</v>
      </c>
      <c r="G39" s="53">
        <f>SUM(G37:G38)</f>
        <v>1.08</v>
      </c>
    </row>
    <row r="40" spans="1:7" ht="18.75" thickBot="1">
      <c r="A40" s="16" t="s">
        <v>48</v>
      </c>
      <c r="B40" s="73"/>
      <c r="C40" s="74"/>
      <c r="D40" s="73"/>
      <c r="E40" s="12"/>
      <c r="F40" s="409">
        <f>F39+F32</f>
        <v>4.6850000000000005</v>
      </c>
      <c r="G40" s="408">
        <f>G39+G31+G26</f>
        <v>4.6850000000000005</v>
      </c>
    </row>
    <row r="41" spans="1:7" ht="25.5" customHeight="1" thickBot="1">
      <c r="A41" s="39" t="s">
        <v>52</v>
      </c>
      <c r="B41" s="40"/>
      <c r="C41" s="42"/>
      <c r="D41" s="40"/>
      <c r="E41" s="40"/>
      <c r="F41" s="43"/>
      <c r="G41" s="43"/>
    </row>
    <row r="42" spans="1:7" ht="48.75" customHeight="1">
      <c r="A42" s="68" t="s">
        <v>11</v>
      </c>
      <c r="B42" s="5" t="s">
        <v>25</v>
      </c>
      <c r="C42" s="23" t="s">
        <v>28</v>
      </c>
      <c r="D42" s="23" t="s">
        <v>30</v>
      </c>
      <c r="E42" s="23"/>
      <c r="F42" s="688" t="s">
        <v>31</v>
      </c>
      <c r="G42" s="689"/>
    </row>
    <row r="43" spans="1:7" ht="15.75">
      <c r="A43" s="57" t="s">
        <v>29</v>
      </c>
      <c r="B43" s="62"/>
      <c r="C43" s="55"/>
      <c r="D43" s="55"/>
      <c r="E43" s="55"/>
      <c r="F43" s="55" t="s">
        <v>15</v>
      </c>
      <c r="G43" s="56" t="s">
        <v>14</v>
      </c>
    </row>
    <row r="44" spans="1:7" ht="12.75">
      <c r="A44" s="287" t="s">
        <v>98</v>
      </c>
      <c r="B44" s="304"/>
      <c r="C44" s="305"/>
      <c r="D44" s="301">
        <v>175</v>
      </c>
      <c r="E44" s="299"/>
      <c r="F44" s="84"/>
      <c r="G44" s="71"/>
    </row>
    <row r="45" spans="1:7" ht="12.75">
      <c r="A45" s="288" t="s">
        <v>63</v>
      </c>
      <c r="B45" s="306"/>
      <c r="C45" s="307"/>
      <c r="D45" s="302">
        <v>99</v>
      </c>
      <c r="E45" s="300"/>
      <c r="F45" s="84"/>
      <c r="G45" s="71"/>
    </row>
    <row r="46" spans="1:7" ht="12.75">
      <c r="A46" s="77" t="s">
        <v>64</v>
      </c>
      <c r="B46" s="70"/>
      <c r="C46" s="71"/>
      <c r="D46" s="303">
        <f>IF(D45-D47&lt;0,D45&amp;"Gr Ham Ağırlık Hatalı",D45-D47)</f>
        <v>29.69999999999999</v>
      </c>
      <c r="E46" s="69"/>
      <c r="F46" s="80">
        <f>F40*D46/1000</f>
        <v>0.13914449999999998</v>
      </c>
      <c r="G46" s="69">
        <f>F46*1000/$D$45</f>
        <v>1.4054999999999997</v>
      </c>
    </row>
    <row r="47" spans="1:7" ht="13.5" thickBot="1">
      <c r="A47" s="10" t="s">
        <v>65</v>
      </c>
      <c r="B47" s="308"/>
      <c r="C47" s="309"/>
      <c r="D47" s="41">
        <f>D51*D44/((9000/E36))*IF($E$37="X",1.1,1)*IF(SUM($D$28:$D$30)&gt;0,1.2,1.1)</f>
        <v>69.30000000000001</v>
      </c>
      <c r="E47" s="9"/>
      <c r="F47" s="80">
        <f>G40*D47/1000</f>
        <v>0.3246705000000001</v>
      </c>
      <c r="G47" s="69">
        <f>F47*1000/$D$45</f>
        <v>3.2795000000000005</v>
      </c>
    </row>
    <row r="48" spans="1:7" ht="18.75" thickBot="1">
      <c r="A48" s="16" t="s">
        <v>23</v>
      </c>
      <c r="B48" s="73"/>
      <c r="C48" s="74"/>
      <c r="D48" s="73"/>
      <c r="E48" s="75"/>
      <c r="F48" s="410">
        <f>F47+F46</f>
        <v>0.4638150000000001</v>
      </c>
      <c r="G48" s="411">
        <f>G47+G46</f>
        <v>4.6850000000000005</v>
      </c>
    </row>
    <row r="49" spans="1:7" ht="12.75">
      <c r="A49" s="77" t="s">
        <v>99</v>
      </c>
      <c r="B49" s="70">
        <v>0.7</v>
      </c>
      <c r="C49" s="71"/>
      <c r="D49" s="72"/>
      <c r="E49" s="69">
        <f>IF(C49="X",A49,0)/2</f>
        <v>0</v>
      </c>
      <c r="F49" s="80">
        <f>IF(D37&lt;&gt;"X",D46*B49,0)/1000</f>
        <v>0.020789999999999993</v>
      </c>
      <c r="G49" s="69">
        <f>F49*1000/$D$45</f>
        <v>0.2099999999999999</v>
      </c>
    </row>
    <row r="50" spans="1:7" ht="12.75">
      <c r="A50" s="77" t="s">
        <v>51</v>
      </c>
      <c r="B50" s="70">
        <v>0.02</v>
      </c>
      <c r="C50" s="71"/>
      <c r="D50" s="72"/>
      <c r="E50" s="69"/>
      <c r="F50" s="80">
        <f>B50</f>
        <v>0.02</v>
      </c>
      <c r="G50" s="69">
        <f>F50*1000/$D$45</f>
        <v>0.20202020202020202</v>
      </c>
    </row>
    <row r="51" spans="1:7" ht="13.5" thickBot="1">
      <c r="A51" s="8" t="s">
        <v>100</v>
      </c>
      <c r="B51" s="308">
        <f>IF(OR(D45&gt;100,D37+E37&gt;0),1,0.5)</f>
        <v>1</v>
      </c>
      <c r="C51" s="71"/>
      <c r="D51" s="422">
        <v>27</v>
      </c>
      <c r="E51" s="9"/>
      <c r="F51" s="80">
        <f>D51*B51/100/(IF(D44&lt;90,INT(90/D44),1))</f>
        <v>0.27</v>
      </c>
      <c r="G51" s="69">
        <f>F51*1000/$D$45</f>
        <v>2.727272727272727</v>
      </c>
    </row>
    <row r="52" spans="1:7" ht="18.75" thickBot="1">
      <c r="A52" s="16" t="s">
        <v>24</v>
      </c>
      <c r="B52" s="73"/>
      <c r="C52" s="74"/>
      <c r="D52" s="73"/>
      <c r="E52" s="12"/>
      <c r="F52" s="410">
        <f>F51+F49+F50</f>
        <v>0.31079</v>
      </c>
      <c r="G52" s="411">
        <f>G51+G49+G50</f>
        <v>3.139292929292929</v>
      </c>
    </row>
    <row r="53" spans="1:7" ht="27.75" customHeight="1" thickBot="1">
      <c r="A53" s="16" t="s">
        <v>244</v>
      </c>
      <c r="B53" s="73"/>
      <c r="C53" s="74"/>
      <c r="D53" s="73"/>
      <c r="E53" s="12"/>
      <c r="F53" s="455">
        <f>F52+F48</f>
        <v>0.7746050000000001</v>
      </c>
      <c r="G53" s="412">
        <f>G52+G48</f>
        <v>7.8242929292929295</v>
      </c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</sheetData>
  <sheetProtection password="E868" sheet="1" objects="1" scenarios="1"/>
  <mergeCells count="9">
    <mergeCell ref="A2:G3"/>
    <mergeCell ref="F42:G42"/>
    <mergeCell ref="A16:A17"/>
    <mergeCell ref="B16:B17"/>
    <mergeCell ref="C16:C17"/>
    <mergeCell ref="F16:F17"/>
    <mergeCell ref="G16:G17"/>
    <mergeCell ref="D16:D17"/>
    <mergeCell ref="E16:E17"/>
  </mergeCells>
  <conditionalFormatting sqref="F36:G38 F28:G30 F8:G25">
    <cfRule type="cellIs" priority="1" dxfId="1" operator="greaterThan" stopIfTrue="1">
      <formula>0</formula>
    </cfRule>
  </conditionalFormatting>
  <conditionalFormatting sqref="F51:G51 E49:G50 F44:F45 F46:G47">
    <cfRule type="cellIs" priority="2" dxfId="0" operator="greaterThan" stopIfTrue="1">
      <formula>0</formula>
    </cfRule>
  </conditionalFormatting>
  <conditionalFormatting sqref="D31:E31">
    <cfRule type="expression" priority="3" dxfId="2" stopIfTrue="1">
      <formula>SUM(D4:D30)&lt;&gt;100</formula>
    </cfRule>
  </conditionalFormatting>
  <printOptions horizontalCentered="1"/>
  <pageMargins left="0.15748031496062992" right="0.15748031496062992" top="0.1968503937007874" bottom="0.4724409448818898" header="0.07874015748031496" footer="0.4724409448818898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Zeros="0" zoomScale="95" zoomScaleNormal="95" zoomScalePageLayoutView="0" workbookViewId="0" topLeftCell="A1">
      <selection activeCell="E28" sqref="E28"/>
    </sheetView>
  </sheetViews>
  <sheetFormatPr defaultColWidth="9.140625" defaultRowHeight="12.75"/>
  <cols>
    <col min="1" max="1" width="33.421875" style="0" customWidth="1"/>
    <col min="2" max="2" width="15.57421875" style="0" bestFit="1" customWidth="1"/>
    <col min="3" max="3" width="7.57421875" style="0" customWidth="1"/>
    <col min="4" max="4" width="13.28125" style="0" bestFit="1" customWidth="1"/>
    <col min="5" max="5" width="11.140625" style="0" bestFit="1" customWidth="1"/>
    <col min="6" max="6" width="15.140625" style="0" bestFit="1" customWidth="1"/>
    <col min="7" max="7" width="16.00390625" style="0" customWidth="1"/>
    <col min="8" max="10" width="9.140625" style="34" customWidth="1"/>
    <col min="11" max="11" width="9.28125" style="34" bestFit="1" customWidth="1"/>
    <col min="12" max="15" width="9.140625" style="34" customWidth="1"/>
  </cols>
  <sheetData>
    <row r="1" spans="1:7" ht="13.5" thickBot="1">
      <c r="A1" s="34"/>
      <c r="B1" s="34"/>
      <c r="C1" s="34"/>
      <c r="D1" s="34"/>
      <c r="E1" s="34"/>
      <c r="F1" s="34"/>
      <c r="G1" s="34"/>
    </row>
    <row r="2" spans="1:8" ht="27" customHeight="1">
      <c r="A2" s="692" t="s">
        <v>290</v>
      </c>
      <c r="B2" s="693"/>
      <c r="C2" s="693"/>
      <c r="D2" s="693"/>
      <c r="E2" s="693"/>
      <c r="F2" s="693"/>
      <c r="G2" s="694"/>
      <c r="H2" s="38"/>
    </row>
    <row r="3" spans="1:8" ht="42" customHeight="1" thickBot="1">
      <c r="A3" s="695"/>
      <c r="B3" s="696"/>
      <c r="C3" s="696"/>
      <c r="D3" s="696"/>
      <c r="E3" s="696"/>
      <c r="F3" s="696"/>
      <c r="G3" s="697"/>
      <c r="H3" s="38"/>
    </row>
    <row r="4" spans="1:8" ht="12" customHeight="1">
      <c r="A4" s="37"/>
      <c r="B4" s="37"/>
      <c r="C4" s="37"/>
      <c r="D4" s="37"/>
      <c r="E4" s="37"/>
      <c r="F4" s="37"/>
      <c r="G4" s="37"/>
      <c r="H4" s="38"/>
    </row>
    <row r="5" spans="1:7" ht="24.75" thickBot="1">
      <c r="A5" s="39" t="s">
        <v>16</v>
      </c>
      <c r="B5" s="40"/>
      <c r="C5" s="40"/>
      <c r="D5" s="41"/>
      <c r="E5" s="41"/>
      <c r="F5" s="40"/>
      <c r="G5" s="190" t="s">
        <v>213</v>
      </c>
    </row>
    <row r="6" spans="1:7" ht="38.25">
      <c r="A6" s="54" t="s">
        <v>226</v>
      </c>
      <c r="B6" s="58" t="s">
        <v>69</v>
      </c>
      <c r="C6" s="58" t="s">
        <v>101</v>
      </c>
      <c r="D6" s="59" t="s">
        <v>78</v>
      </c>
      <c r="E6" s="59" t="s">
        <v>79</v>
      </c>
      <c r="F6" s="58" t="s">
        <v>227</v>
      </c>
      <c r="G6" s="58" t="s">
        <v>228</v>
      </c>
    </row>
    <row r="7" spans="1:7" ht="15.75">
      <c r="A7" s="65" t="s">
        <v>96</v>
      </c>
      <c r="B7" s="63" t="s">
        <v>70</v>
      </c>
      <c r="C7" s="63" t="s">
        <v>71</v>
      </c>
      <c r="D7" s="66" t="s">
        <v>77</v>
      </c>
      <c r="E7" s="66" t="s">
        <v>77</v>
      </c>
      <c r="F7" s="63" t="s">
        <v>71</v>
      </c>
      <c r="G7" s="64" t="s">
        <v>71</v>
      </c>
    </row>
    <row r="8" spans="1:7" ht="12.75">
      <c r="A8" s="263" t="s">
        <v>246</v>
      </c>
      <c r="B8" s="264">
        <v>1.03</v>
      </c>
      <c r="C8" s="462">
        <v>2.59</v>
      </c>
      <c r="D8" s="428"/>
      <c r="E8" s="428"/>
      <c r="F8" s="353">
        <f aca="true" t="shared" si="0" ref="F8:F14">B8*C8*D8/100</f>
        <v>0</v>
      </c>
      <c r="G8" s="442">
        <f aca="true" t="shared" si="1" ref="G8:G14">B8*E8*C8/100</f>
        <v>0</v>
      </c>
    </row>
    <row r="9" spans="1:7" ht="12.75">
      <c r="A9" s="265" t="s">
        <v>247</v>
      </c>
      <c r="B9" s="266">
        <v>1.03</v>
      </c>
      <c r="C9" s="463">
        <v>2.68</v>
      </c>
      <c r="D9" s="428"/>
      <c r="E9" s="428"/>
      <c r="F9" s="304">
        <f t="shared" si="0"/>
        <v>0</v>
      </c>
      <c r="G9" s="299">
        <f t="shared" si="1"/>
        <v>0</v>
      </c>
    </row>
    <row r="10" spans="1:7" ht="12.75">
      <c r="A10" s="265" t="s">
        <v>42</v>
      </c>
      <c r="B10" s="266">
        <v>1.03</v>
      </c>
      <c r="C10" s="424">
        <v>2.88</v>
      </c>
      <c r="D10" s="428">
        <v>50</v>
      </c>
      <c r="E10" s="428">
        <v>50</v>
      </c>
      <c r="F10" s="306">
        <f t="shared" si="0"/>
        <v>1.4831999999999999</v>
      </c>
      <c r="G10" s="300">
        <f t="shared" si="1"/>
        <v>1.4831999999999999</v>
      </c>
    </row>
    <row r="11" spans="1:7" ht="12.75">
      <c r="A11" s="265" t="s">
        <v>248</v>
      </c>
      <c r="B11" s="266">
        <v>1.03</v>
      </c>
      <c r="C11" s="424">
        <v>3.13</v>
      </c>
      <c r="D11" s="428"/>
      <c r="E11" s="428"/>
      <c r="F11" s="306">
        <f t="shared" si="0"/>
        <v>0</v>
      </c>
      <c r="G11" s="300">
        <f t="shared" si="1"/>
        <v>0</v>
      </c>
    </row>
    <row r="12" spans="1:7" ht="12.75">
      <c r="A12" s="265" t="s">
        <v>225</v>
      </c>
      <c r="B12" s="266">
        <v>1.03</v>
      </c>
      <c r="C12" s="424">
        <v>3.5</v>
      </c>
      <c r="D12" s="428"/>
      <c r="E12" s="428"/>
      <c r="F12" s="306">
        <f t="shared" si="0"/>
        <v>0</v>
      </c>
      <c r="G12" s="300">
        <f t="shared" si="1"/>
        <v>0</v>
      </c>
    </row>
    <row r="13" spans="1:7" ht="12.75">
      <c r="A13" s="265" t="s">
        <v>231</v>
      </c>
      <c r="B13" s="266">
        <v>1.04</v>
      </c>
      <c r="C13" s="424">
        <v>3.5</v>
      </c>
      <c r="D13" s="428"/>
      <c r="E13" s="428"/>
      <c r="F13" s="306">
        <f>B13*C13*D13/100</f>
        <v>0</v>
      </c>
      <c r="G13" s="300">
        <f>B13*E13*C13/100</f>
        <v>0</v>
      </c>
    </row>
    <row r="14" spans="1:7" ht="12.75">
      <c r="A14" s="265" t="s">
        <v>43</v>
      </c>
      <c r="B14" s="266">
        <v>1.05</v>
      </c>
      <c r="C14" s="424">
        <v>3.44</v>
      </c>
      <c r="D14" s="428"/>
      <c r="E14" s="428"/>
      <c r="F14" s="306">
        <f t="shared" si="0"/>
        <v>0</v>
      </c>
      <c r="G14" s="300">
        <f t="shared" si="1"/>
        <v>0</v>
      </c>
    </row>
    <row r="15" spans="1:7" ht="12.75">
      <c r="A15" s="265" t="s">
        <v>44</v>
      </c>
      <c r="B15" s="430">
        <v>1.03</v>
      </c>
      <c r="C15" s="425">
        <v>3.96</v>
      </c>
      <c r="D15" s="428"/>
      <c r="E15" s="428"/>
      <c r="F15" s="354">
        <f aca="true" t="shared" si="2" ref="F15:F25">B15*C15*D15/100</f>
        <v>0</v>
      </c>
      <c r="G15" s="433">
        <f aca="true" t="shared" si="3" ref="G15:G25">B15*E15*C15/100</f>
        <v>0</v>
      </c>
    </row>
    <row r="16" spans="1:7" ht="12.75" customHeight="1">
      <c r="A16" s="698" t="s">
        <v>260</v>
      </c>
      <c r="B16" s="700">
        <v>1.08</v>
      </c>
      <c r="C16" s="701">
        <v>3.5</v>
      </c>
      <c r="D16" s="711"/>
      <c r="E16" s="711"/>
      <c r="F16" s="713">
        <f aca="true" t="shared" si="4" ref="F16:F21">B16*C16*D16/100</f>
        <v>0</v>
      </c>
      <c r="G16" s="704">
        <f aca="true" t="shared" si="5" ref="G16:G21">B16*E16*C16/100</f>
        <v>0</v>
      </c>
    </row>
    <row r="17" spans="1:7" ht="12.75">
      <c r="A17" s="699"/>
      <c r="B17" s="700"/>
      <c r="C17" s="702"/>
      <c r="D17" s="712"/>
      <c r="E17" s="712"/>
      <c r="F17" s="713">
        <f t="shared" si="4"/>
        <v>0</v>
      </c>
      <c r="G17" s="704">
        <f t="shared" si="5"/>
        <v>0</v>
      </c>
    </row>
    <row r="18" spans="1:7" ht="12.75">
      <c r="A18" s="461" t="s">
        <v>261</v>
      </c>
      <c r="B18" s="266">
        <v>1.08</v>
      </c>
      <c r="C18" s="431">
        <v>8</v>
      </c>
      <c r="D18" s="428"/>
      <c r="E18" s="428"/>
      <c r="F18" s="354">
        <f t="shared" si="4"/>
        <v>0</v>
      </c>
      <c r="G18" s="433">
        <f t="shared" si="5"/>
        <v>0</v>
      </c>
    </row>
    <row r="19" spans="1:7" ht="12.75">
      <c r="A19" s="456" t="s">
        <v>273</v>
      </c>
      <c r="B19" s="430">
        <v>1.15</v>
      </c>
      <c r="C19" s="430">
        <v>13</v>
      </c>
      <c r="D19" s="428"/>
      <c r="E19" s="428"/>
      <c r="F19" s="354">
        <f t="shared" si="4"/>
        <v>0</v>
      </c>
      <c r="G19" s="433">
        <f t="shared" si="5"/>
        <v>0</v>
      </c>
    </row>
    <row r="20" spans="1:7" ht="12.75">
      <c r="A20" s="270" t="s">
        <v>274</v>
      </c>
      <c r="B20" s="430">
        <v>1.15</v>
      </c>
      <c r="C20" s="430">
        <v>16</v>
      </c>
      <c r="D20" s="428"/>
      <c r="E20" s="428"/>
      <c r="F20" s="354">
        <f t="shared" si="4"/>
        <v>0</v>
      </c>
      <c r="G20" s="433">
        <f t="shared" si="5"/>
        <v>0</v>
      </c>
    </row>
    <row r="21" spans="1:7" ht="12.75">
      <c r="A21" s="272" t="s">
        <v>275</v>
      </c>
      <c r="B21" s="266">
        <v>1.15</v>
      </c>
      <c r="C21" s="424">
        <v>2.85</v>
      </c>
      <c r="D21" s="428">
        <v>20</v>
      </c>
      <c r="E21" s="428">
        <v>20</v>
      </c>
      <c r="F21" s="306">
        <f t="shared" si="4"/>
        <v>0.6555</v>
      </c>
      <c r="G21" s="300">
        <f t="shared" si="5"/>
        <v>0.6555</v>
      </c>
    </row>
    <row r="22" spans="1:7" ht="12.75">
      <c r="A22" s="265" t="s">
        <v>276</v>
      </c>
      <c r="B22" s="266">
        <v>1.08</v>
      </c>
      <c r="C22" s="424">
        <v>3.65</v>
      </c>
      <c r="D22" s="428">
        <v>10</v>
      </c>
      <c r="E22" s="428">
        <v>10</v>
      </c>
      <c r="F22" s="306">
        <f t="shared" si="2"/>
        <v>0.3942</v>
      </c>
      <c r="G22" s="300">
        <f t="shared" si="3"/>
        <v>0.3942</v>
      </c>
    </row>
    <row r="23" spans="1:7" ht="12.75">
      <c r="A23" s="265" t="s">
        <v>277</v>
      </c>
      <c r="B23" s="266">
        <v>1.2</v>
      </c>
      <c r="C23" s="424">
        <v>4.8</v>
      </c>
      <c r="D23" s="428"/>
      <c r="E23" s="428"/>
      <c r="F23" s="306">
        <f t="shared" si="2"/>
        <v>0</v>
      </c>
      <c r="G23" s="300">
        <f t="shared" si="3"/>
        <v>0</v>
      </c>
    </row>
    <row r="24" spans="1:7" ht="12.75">
      <c r="A24" s="265" t="s">
        <v>278</v>
      </c>
      <c r="B24" s="266">
        <v>1.12</v>
      </c>
      <c r="C24" s="424">
        <v>4.25</v>
      </c>
      <c r="D24" s="428"/>
      <c r="E24" s="428"/>
      <c r="F24" s="306">
        <f t="shared" si="2"/>
        <v>0</v>
      </c>
      <c r="G24" s="300">
        <f t="shared" si="3"/>
        <v>0</v>
      </c>
    </row>
    <row r="25" spans="1:7" ht="13.5" thickBot="1">
      <c r="A25" s="77" t="s">
        <v>279</v>
      </c>
      <c r="B25" s="298">
        <v>1.15</v>
      </c>
      <c r="C25" s="247">
        <v>4.65</v>
      </c>
      <c r="D25" s="432">
        <v>10</v>
      </c>
      <c r="E25" s="432">
        <v>10</v>
      </c>
      <c r="F25" s="434">
        <f t="shared" si="2"/>
        <v>0.5347500000000001</v>
      </c>
      <c r="G25" s="69">
        <f t="shared" si="3"/>
        <v>0.5347500000000001</v>
      </c>
    </row>
    <row r="26" spans="1:7" ht="18">
      <c r="A26" s="15" t="s">
        <v>229</v>
      </c>
      <c r="B26" s="78"/>
      <c r="C26" s="79"/>
      <c r="D26" s="426"/>
      <c r="E26" s="427"/>
      <c r="F26" s="405">
        <f>SUM(F8:F25)</f>
        <v>3.0676500000000004</v>
      </c>
      <c r="G26" s="406">
        <f>SUM(G8:G25)</f>
        <v>3.0676500000000004</v>
      </c>
    </row>
    <row r="27" spans="1:7" ht="12.75">
      <c r="A27" s="6" t="s">
        <v>57</v>
      </c>
      <c r="B27" s="4"/>
      <c r="C27" s="4"/>
      <c r="D27" s="255"/>
      <c r="E27" s="255"/>
      <c r="F27" s="4"/>
      <c r="G27" s="7"/>
    </row>
    <row r="28" spans="1:7" ht="12.75">
      <c r="A28" s="265" t="s">
        <v>122</v>
      </c>
      <c r="B28" s="264">
        <v>1.01</v>
      </c>
      <c r="C28" s="504">
        <v>10</v>
      </c>
      <c r="D28" s="503"/>
      <c r="E28" s="274"/>
      <c r="F28" s="86">
        <f>B28*C28*D28/100</f>
        <v>0</v>
      </c>
      <c r="G28" s="9">
        <f>B28*E28*C28/100</f>
        <v>0</v>
      </c>
    </row>
    <row r="29" spans="1:7" ht="12.75">
      <c r="A29" s="265" t="s">
        <v>123</v>
      </c>
      <c r="B29" s="271">
        <v>1.01</v>
      </c>
      <c r="C29" s="425">
        <v>10</v>
      </c>
      <c r="D29" s="506">
        <v>10</v>
      </c>
      <c r="E29" s="268">
        <v>10</v>
      </c>
      <c r="F29" s="80">
        <f>B29*C29*D29/100</f>
        <v>1.01</v>
      </c>
      <c r="G29" s="69">
        <f>B29*E29*C29/100</f>
        <v>1.01</v>
      </c>
    </row>
    <row r="30" spans="1:7" ht="13.5" thickBot="1">
      <c r="A30" s="275" t="s">
        <v>124</v>
      </c>
      <c r="B30" s="276">
        <v>1.01</v>
      </c>
      <c r="C30" s="505">
        <v>20</v>
      </c>
      <c r="D30" s="507"/>
      <c r="E30" s="278"/>
      <c r="F30" s="86">
        <f>B30*C30*D30/100</f>
        <v>0</v>
      </c>
      <c r="G30" s="9">
        <f>B30*E30*C30/100</f>
        <v>0</v>
      </c>
    </row>
    <row r="31" spans="1:7" ht="19.5" thickBot="1">
      <c r="A31" s="16" t="s">
        <v>58</v>
      </c>
      <c r="B31" s="17"/>
      <c r="C31" s="30"/>
      <c r="D31" s="239" t="s">
        <v>222</v>
      </c>
      <c r="E31" s="239" t="s">
        <v>222</v>
      </c>
      <c r="F31" s="82">
        <f>SUM(F28:F30)</f>
        <v>1.01</v>
      </c>
      <c r="G31" s="53">
        <f>SUM(G28:G30)</f>
        <v>1.01</v>
      </c>
    </row>
    <row r="32" spans="1:7" ht="18.75" thickBot="1">
      <c r="A32" s="16" t="s">
        <v>230</v>
      </c>
      <c r="B32" s="17"/>
      <c r="C32" s="30"/>
      <c r="D32" s="73"/>
      <c r="E32" s="12"/>
      <c r="F32" s="409">
        <f>F31+F26</f>
        <v>4.07765</v>
      </c>
      <c r="G32" s="408">
        <f>G31+G26</f>
        <v>4.07765</v>
      </c>
    </row>
    <row r="33" spans="1:7" ht="24.75" customHeight="1" thickBot="1">
      <c r="A33" s="39" t="s">
        <v>17</v>
      </c>
      <c r="B33" s="40"/>
      <c r="C33" s="42"/>
      <c r="D33" s="42"/>
      <c r="E33" s="42"/>
      <c r="F33" s="42"/>
      <c r="G33" s="42"/>
    </row>
    <row r="34" spans="1:7" ht="25.5">
      <c r="A34" s="21"/>
      <c r="B34" s="5" t="s">
        <v>25</v>
      </c>
      <c r="C34" s="23" t="s">
        <v>28</v>
      </c>
      <c r="D34" s="23" t="s">
        <v>45</v>
      </c>
      <c r="E34" s="23" t="s">
        <v>46</v>
      </c>
      <c r="F34" s="23" t="s">
        <v>26</v>
      </c>
      <c r="G34" s="23" t="s">
        <v>27</v>
      </c>
    </row>
    <row r="35" spans="1:7" ht="12.75">
      <c r="A35" s="6" t="s">
        <v>22</v>
      </c>
      <c r="B35" s="4"/>
      <c r="C35" s="4"/>
      <c r="D35" s="4"/>
      <c r="E35" s="4"/>
      <c r="F35" s="4"/>
      <c r="G35" s="7"/>
    </row>
    <row r="36" spans="1:7" ht="12.75">
      <c r="A36" s="272" t="s">
        <v>47</v>
      </c>
      <c r="B36" s="264"/>
      <c r="C36" s="536"/>
      <c r="D36" s="503">
        <v>40</v>
      </c>
      <c r="E36" s="274">
        <v>40</v>
      </c>
      <c r="F36" s="86"/>
      <c r="G36" s="9"/>
    </row>
    <row r="37" spans="1:7" ht="12.75">
      <c r="A37" s="265" t="s">
        <v>232</v>
      </c>
      <c r="B37" s="266">
        <v>0.01</v>
      </c>
      <c r="C37" s="534"/>
      <c r="D37" s="506"/>
      <c r="E37" s="268"/>
      <c r="F37" s="246">
        <f>9/D36*IF(D36&gt;175,0.0134,IF(D36&gt;135,0.0134,IF(D36&gt;110,0.012,IF(D36&gt;85,0.011,IF(D36&gt;59,0.0095,IF(D36&gt;49,0.0072,0.0065))))))*D37</f>
        <v>0</v>
      </c>
      <c r="G37" s="246">
        <f>9/E36*IF(E36&gt;175,0.0134,IF(E36&gt;135,0.0134,IF(E36&gt;110,0.012,IF(E36&gt;85,0.011,IF(E36&gt;59,0.0095,IF(E36&gt;49,0.0072,0.0065))))))*E37</f>
        <v>0</v>
      </c>
    </row>
    <row r="38" spans="1:7" ht="13.5" thickBot="1">
      <c r="A38" s="280" t="s">
        <v>97</v>
      </c>
      <c r="B38" s="276">
        <v>1.5</v>
      </c>
      <c r="C38" s="516" t="s">
        <v>20</v>
      </c>
      <c r="D38" s="507"/>
      <c r="E38" s="278"/>
      <c r="F38" s="86">
        <f>IF(D38="X",$B$38,0)</f>
        <v>0</v>
      </c>
      <c r="G38" s="9">
        <f>+IF(E38="X",$B$38,0)</f>
        <v>0</v>
      </c>
    </row>
    <row r="39" spans="1:7" ht="18.75" thickBot="1">
      <c r="A39" s="16" t="s">
        <v>84</v>
      </c>
      <c r="B39" s="17"/>
      <c r="C39" s="74"/>
      <c r="D39" s="73"/>
      <c r="E39" s="12"/>
      <c r="F39" s="409">
        <f>SUM(F37:F38)</f>
        <v>0</v>
      </c>
      <c r="G39" s="408">
        <f>SUM(G37:G38)</f>
        <v>0</v>
      </c>
    </row>
    <row r="40" spans="1:7" ht="18.75" thickBot="1">
      <c r="A40" s="16" t="s">
        <v>48</v>
      </c>
      <c r="B40" s="17"/>
      <c r="C40" s="74"/>
      <c r="D40" s="73"/>
      <c r="E40" s="12"/>
      <c r="F40" s="409">
        <f>F39+F32</f>
        <v>4.07765</v>
      </c>
      <c r="G40" s="408">
        <f>G39+G31+G26</f>
        <v>4.07765</v>
      </c>
    </row>
    <row r="41" spans="1:7" ht="26.25" customHeight="1" thickBot="1">
      <c r="A41" s="39" t="s">
        <v>52</v>
      </c>
      <c r="B41" s="40"/>
      <c r="C41" s="42"/>
      <c r="D41" s="40"/>
      <c r="E41" s="40"/>
      <c r="F41" s="43"/>
      <c r="G41" s="43"/>
    </row>
    <row r="42" spans="1:7" ht="39" customHeight="1">
      <c r="A42" s="21" t="s">
        <v>11</v>
      </c>
      <c r="B42" s="58" t="s">
        <v>102</v>
      </c>
      <c r="C42" s="23" t="s">
        <v>28</v>
      </c>
      <c r="D42" s="23" t="s">
        <v>30</v>
      </c>
      <c r="E42" s="23"/>
      <c r="F42" s="688" t="s">
        <v>31</v>
      </c>
      <c r="G42" s="689"/>
    </row>
    <row r="43" spans="1:7" ht="15.75">
      <c r="A43" s="57" t="s">
        <v>29</v>
      </c>
      <c r="B43" s="62"/>
      <c r="C43" s="55"/>
      <c r="D43" s="55"/>
      <c r="E43" s="55"/>
      <c r="F43" s="55" t="s">
        <v>15</v>
      </c>
      <c r="G43" s="56" t="s">
        <v>14</v>
      </c>
    </row>
    <row r="44" spans="1:7" ht="12.75">
      <c r="A44" s="77" t="s">
        <v>98</v>
      </c>
      <c r="B44" s="70"/>
      <c r="C44" s="71"/>
      <c r="D44" s="85">
        <f>D59*1.1</f>
        <v>22</v>
      </c>
      <c r="E44" s="69"/>
      <c r="F44" s="72"/>
      <c r="G44" s="71"/>
    </row>
    <row r="45" spans="1:7" ht="12.75">
      <c r="A45" s="77" t="s">
        <v>63</v>
      </c>
      <c r="B45" s="70"/>
      <c r="C45" s="71"/>
      <c r="D45" s="85">
        <f>D60*IF(D78="X",1.3,0.9)</f>
        <v>225</v>
      </c>
      <c r="E45" s="69"/>
      <c r="F45" s="72"/>
      <c r="G45" s="71"/>
    </row>
    <row r="46" spans="1:7" ht="12.75">
      <c r="A46" s="83" t="s">
        <v>41</v>
      </c>
      <c r="B46" s="70"/>
      <c r="C46" s="71"/>
      <c r="D46" s="72"/>
      <c r="E46" s="69"/>
      <c r="F46" s="72"/>
      <c r="G46" s="71"/>
    </row>
    <row r="47" spans="1:7" ht="12.75">
      <c r="A47" s="77" t="s">
        <v>64</v>
      </c>
      <c r="B47" s="70"/>
      <c r="C47" s="71"/>
      <c r="D47" s="76">
        <f>IF(D45-D48&lt;0,D60&amp;"Gr Mamül Ağırlık Hatalı",D45-D48)</f>
        <v>222.65333333333334</v>
      </c>
      <c r="E47" s="69"/>
      <c r="F47" s="250">
        <f>F40*D47/1000</f>
        <v>0.9079023646666667</v>
      </c>
      <c r="G47" s="69">
        <f>F47*1000/$D$45</f>
        <v>4.035121620740741</v>
      </c>
    </row>
    <row r="48" spans="1:7" ht="13.5" thickBot="1">
      <c r="A48" s="77" t="s">
        <v>65</v>
      </c>
      <c r="B48" s="70"/>
      <c r="C48" s="71"/>
      <c r="D48" s="76">
        <f>D52*D44/((9000/E36))*IF(E37="X",1.1,1)*IF(D63="X",1.2,1.1)</f>
        <v>2.3466666666666667</v>
      </c>
      <c r="E48" s="69"/>
      <c r="F48" s="250">
        <f>G40*D48/1000</f>
        <v>0.009568885333333334</v>
      </c>
      <c r="G48" s="69">
        <f>F48*1000/$D$45</f>
        <v>0.042528379259259265</v>
      </c>
    </row>
    <row r="49" spans="1:7" ht="18.75" thickBot="1">
      <c r="A49" s="251" t="s">
        <v>23</v>
      </c>
      <c r="B49" s="73"/>
      <c r="C49" s="74"/>
      <c r="D49" s="73"/>
      <c r="E49" s="75"/>
      <c r="F49" s="413">
        <f>SUM(F47:F48)</f>
        <v>0.9174712500000001</v>
      </c>
      <c r="G49" s="411">
        <f>SUM(G47:G48)</f>
        <v>4.07765</v>
      </c>
    </row>
    <row r="50" spans="1:7" ht="12.75">
      <c r="A50" s="77" t="s">
        <v>99</v>
      </c>
      <c r="B50" s="70">
        <v>0.7</v>
      </c>
      <c r="C50" s="71"/>
      <c r="D50" s="72"/>
      <c r="E50" s="69">
        <f>IF(C50="X",A50,0)/2</f>
        <v>0</v>
      </c>
      <c r="F50" s="250">
        <f>IF(D37&lt;=0,D47*B50,0)/1000</f>
        <v>0.15585733333333332</v>
      </c>
      <c r="G50" s="69">
        <f>F50*1000/$D$45</f>
        <v>0.6926992592592591</v>
      </c>
    </row>
    <row r="51" spans="1:7" ht="12.75">
      <c r="A51" s="77" t="s">
        <v>51</v>
      </c>
      <c r="B51" s="70">
        <v>0.02</v>
      </c>
      <c r="C51" s="71"/>
      <c r="D51" s="72"/>
      <c r="E51" s="69"/>
      <c r="F51" s="250">
        <f>B51</f>
        <v>0.02</v>
      </c>
      <c r="G51" s="69">
        <f>F51*1000/$D$45</f>
        <v>0.08888888888888889</v>
      </c>
    </row>
    <row r="52" spans="1:7" ht="13.5" thickBot="1">
      <c r="A52" s="293" t="s">
        <v>100</v>
      </c>
      <c r="B52" s="464">
        <f>IF(OR(D60&gt;100,D37+E37&gt;0),1,0.5)</f>
        <v>1</v>
      </c>
      <c r="C52" s="295"/>
      <c r="D52" s="296">
        <v>20</v>
      </c>
      <c r="E52" s="297"/>
      <c r="F52" s="250">
        <f>D52*B52/100/(IF(D59&lt;90,INT(90/D59),1))</f>
        <v>0.05</v>
      </c>
      <c r="G52" s="69">
        <f>F52*1000/$D$45</f>
        <v>0.2222222222222222</v>
      </c>
    </row>
    <row r="53" spans="1:7" ht="18.75" thickBot="1">
      <c r="A53" s="251" t="s">
        <v>24</v>
      </c>
      <c r="B53" s="73"/>
      <c r="C53" s="74"/>
      <c r="D53" s="73"/>
      <c r="E53" s="75"/>
      <c r="F53" s="413">
        <f>F52+F50+F51</f>
        <v>0.22585733333333333</v>
      </c>
      <c r="G53" s="413">
        <f>G52+G50+G51</f>
        <v>1.0038103703703702</v>
      </c>
    </row>
    <row r="54" spans="1:7" ht="18.75" thickBot="1">
      <c r="A54" s="251" t="s">
        <v>68</v>
      </c>
      <c r="B54" s="73"/>
      <c r="C54" s="74"/>
      <c r="D54" s="73"/>
      <c r="E54" s="75"/>
      <c r="F54" s="413">
        <f>F53+F49</f>
        <v>1.1433285833333333</v>
      </c>
      <c r="G54" s="411">
        <f>G53+G49</f>
        <v>5.081460370370371</v>
      </c>
    </row>
    <row r="55" spans="1:7" ht="18.75">
      <c r="A55" s="44"/>
      <c r="B55" s="40"/>
      <c r="C55" s="42"/>
      <c r="D55" s="40"/>
      <c r="E55" s="40"/>
      <c r="F55" s="43"/>
      <c r="G55" s="43"/>
    </row>
    <row r="56" spans="1:7" ht="21" thickBot="1">
      <c r="A56" s="39" t="s">
        <v>53</v>
      </c>
      <c r="B56" s="40"/>
      <c r="C56" s="42"/>
      <c r="D56" s="245"/>
      <c r="E56" s="245"/>
      <c r="F56" s="43"/>
      <c r="G56" s="43"/>
    </row>
    <row r="57" spans="1:7" ht="26.25">
      <c r="A57" s="21" t="s">
        <v>11</v>
      </c>
      <c r="B57" s="5" t="s">
        <v>240</v>
      </c>
      <c r="C57" s="23" t="s">
        <v>28</v>
      </c>
      <c r="D57" s="206" t="s">
        <v>32</v>
      </c>
      <c r="E57" s="206"/>
      <c r="F57" s="709" t="s">
        <v>31</v>
      </c>
      <c r="G57" s="710"/>
    </row>
    <row r="58" spans="1:7" ht="15.75">
      <c r="A58" s="57" t="s">
        <v>95</v>
      </c>
      <c r="B58" s="62"/>
      <c r="C58" s="62"/>
      <c r="D58" s="228"/>
      <c r="E58" s="228"/>
      <c r="F58" s="55" t="s">
        <v>15</v>
      </c>
      <c r="G58" s="56" t="s">
        <v>14</v>
      </c>
    </row>
    <row r="59" spans="1:7" ht="12.75">
      <c r="A59" s="272" t="s">
        <v>91</v>
      </c>
      <c r="B59" s="282"/>
      <c r="C59" s="533"/>
      <c r="D59" s="361">
        <v>20</v>
      </c>
      <c r="E59" s="283"/>
      <c r="F59" s="72"/>
      <c r="G59" s="71"/>
    </row>
    <row r="60" spans="1:7" ht="12.75">
      <c r="A60" s="272" t="s">
        <v>92</v>
      </c>
      <c r="B60" s="282"/>
      <c r="C60" s="534"/>
      <c r="D60" s="361">
        <v>250</v>
      </c>
      <c r="E60" s="283"/>
      <c r="F60" s="72"/>
      <c r="G60" s="71"/>
    </row>
    <row r="61" spans="1:7" ht="12.75">
      <c r="A61" s="83" t="s">
        <v>41</v>
      </c>
      <c r="B61" s="70" t="s">
        <v>37</v>
      </c>
      <c r="C61" s="42"/>
      <c r="D61" s="537"/>
      <c r="E61" s="249"/>
      <c r="F61" s="72"/>
      <c r="G61" s="71"/>
    </row>
    <row r="62" spans="1:7" ht="12.75">
      <c r="A62" s="265" t="s">
        <v>233</v>
      </c>
      <c r="B62" s="284">
        <v>0.2</v>
      </c>
      <c r="C62" s="534" t="s">
        <v>20</v>
      </c>
      <c r="D62" s="460" t="str">
        <f>IF(SUM($F$28:$F$30)&gt;0,"X","")</f>
        <v>X</v>
      </c>
      <c r="E62" s="286"/>
      <c r="F62" s="250">
        <f>$F$54*IF(D62="x",B62,0)</f>
        <v>0.22866571666666669</v>
      </c>
      <c r="G62" s="69">
        <f aca="true" t="shared" si="6" ref="G62:G70">F62*1000/$D$60</f>
        <v>0.9146628666666667</v>
      </c>
    </row>
    <row r="63" spans="1:7" ht="12.75">
      <c r="A63" s="265" t="s">
        <v>234</v>
      </c>
      <c r="B63" s="284">
        <v>0.14</v>
      </c>
      <c r="C63" s="534" t="s">
        <v>20</v>
      </c>
      <c r="D63" s="538" t="str">
        <f>IF(SUM($G$28:$G$30)&gt;0,"X","")</f>
        <v>X</v>
      </c>
      <c r="E63" s="285"/>
      <c r="F63" s="250">
        <f>$F$54*IF(D63="x",B63,0)*IF($F$62&gt;0,0,1)</f>
        <v>0</v>
      </c>
      <c r="G63" s="69">
        <f t="shared" si="6"/>
        <v>0</v>
      </c>
    </row>
    <row r="64" spans="1:7" ht="12.75">
      <c r="A64" s="265" t="s">
        <v>34</v>
      </c>
      <c r="B64" s="284">
        <v>0.14</v>
      </c>
      <c r="C64" s="534" t="s">
        <v>20</v>
      </c>
      <c r="D64" s="539"/>
      <c r="E64" s="285"/>
      <c r="F64" s="250">
        <f>$F$54*IF(D64="x",B64,0)*IF($F$62+$F$63&gt;0,0,1)</f>
        <v>0</v>
      </c>
      <c r="G64" s="69">
        <f t="shared" si="6"/>
        <v>0</v>
      </c>
    </row>
    <row r="65" spans="1:7" ht="12.75">
      <c r="A65" s="265" t="s">
        <v>49</v>
      </c>
      <c r="B65" s="284">
        <v>0.12</v>
      </c>
      <c r="C65" s="534" t="s">
        <v>20</v>
      </c>
      <c r="D65" s="539"/>
      <c r="E65" s="285"/>
      <c r="F65" s="250">
        <f>$F$54*IF(D65="x",B65,0)*IF($F$62+$F$63&gt;0,0,1)*IF(F78=0,1,0)</f>
        <v>0</v>
      </c>
      <c r="G65" s="69">
        <f t="shared" si="6"/>
        <v>0</v>
      </c>
    </row>
    <row r="66" spans="1:7" ht="12.75">
      <c r="A66" s="341" t="s">
        <v>268</v>
      </c>
      <c r="B66" s="310">
        <v>0.1</v>
      </c>
      <c r="C66" s="534" t="s">
        <v>20</v>
      </c>
      <c r="D66" s="539"/>
      <c r="E66" s="285"/>
      <c r="F66" s="250">
        <f>$F$54*IF(D66="x",B66,0)*IF($F$62+$F$63&gt;0,0,1)</f>
        <v>0</v>
      </c>
      <c r="G66" s="69">
        <f t="shared" si="6"/>
        <v>0</v>
      </c>
    </row>
    <row r="67" spans="1:7" ht="12.75">
      <c r="A67" s="265" t="s">
        <v>267</v>
      </c>
      <c r="B67" s="310">
        <v>0.08</v>
      </c>
      <c r="C67" s="534" t="s">
        <v>20</v>
      </c>
      <c r="D67" s="539"/>
      <c r="E67" s="285"/>
      <c r="F67" s="250">
        <f>$F$54*IF(D67="x",B67,0)*IF($F$62+$F$63&gt;0,0,1)</f>
        <v>0</v>
      </c>
      <c r="G67" s="69">
        <f t="shared" si="6"/>
        <v>0</v>
      </c>
    </row>
    <row r="68" spans="1:7" ht="12.75">
      <c r="A68" s="265" t="s">
        <v>50</v>
      </c>
      <c r="B68" s="284">
        <v>0.07</v>
      </c>
      <c r="C68" s="534" t="s">
        <v>20</v>
      </c>
      <c r="D68" s="312"/>
      <c r="E68" s="285"/>
      <c r="F68" s="250">
        <f>$F$54*IF(D68="x",B68,0)*IF($F$62+$F$63&gt;0,0,1)</f>
        <v>0</v>
      </c>
      <c r="G68" s="69">
        <f t="shared" si="6"/>
        <v>0</v>
      </c>
    </row>
    <row r="69" spans="1:7" ht="12.75">
      <c r="A69" s="341" t="s">
        <v>258</v>
      </c>
      <c r="B69" s="310">
        <v>0.04</v>
      </c>
      <c r="C69" s="515" t="s">
        <v>20</v>
      </c>
      <c r="D69" s="312"/>
      <c r="E69" s="458"/>
      <c r="F69" s="250">
        <f>$F$54*IF(D69="x",B69,0)*IF($F$62+$F$63&gt;0,0,1)</f>
        <v>0</v>
      </c>
      <c r="G69" s="69">
        <f t="shared" si="6"/>
        <v>0</v>
      </c>
    </row>
    <row r="70" spans="1:7" ht="12.75">
      <c r="A70" s="33" t="s">
        <v>251</v>
      </c>
      <c r="B70" s="284" t="s">
        <v>147</v>
      </c>
      <c r="C70" s="291"/>
      <c r="D70" s="460"/>
      <c r="E70" s="286"/>
      <c r="F70" s="250"/>
      <c r="G70" s="69">
        <f t="shared" si="6"/>
        <v>0</v>
      </c>
    </row>
    <row r="71" spans="1:7" ht="12.75">
      <c r="A71" s="342" t="s">
        <v>281</v>
      </c>
      <c r="B71" s="266">
        <v>1</v>
      </c>
      <c r="C71" s="291" t="s">
        <v>20</v>
      </c>
      <c r="D71" s="312"/>
      <c r="E71" s="286"/>
      <c r="F71" s="250">
        <f aca="true" t="shared" si="7" ref="F71:F77">G71/(1000/$D$60)</f>
        <v>0</v>
      </c>
      <c r="G71" s="69">
        <f aca="true" t="shared" si="8" ref="G71:G77">IF(D71="x",B71,0)</f>
        <v>0</v>
      </c>
    </row>
    <row r="72" spans="1:7" ht="12.75">
      <c r="A72" s="342" t="s">
        <v>280</v>
      </c>
      <c r="B72" s="465">
        <v>1.8</v>
      </c>
      <c r="C72" s="291" t="s">
        <v>20</v>
      </c>
      <c r="D72" s="312"/>
      <c r="E72" s="286"/>
      <c r="F72" s="250">
        <f>G72/(1000/$D$60)</f>
        <v>0</v>
      </c>
      <c r="G72" s="69">
        <f>IF(D72="x",B72,0)</f>
        <v>0</v>
      </c>
    </row>
    <row r="73" spans="1:7" ht="12.75">
      <c r="A73" s="288" t="s">
        <v>170</v>
      </c>
      <c r="B73" s="266">
        <v>2.5</v>
      </c>
      <c r="C73" s="291" t="s">
        <v>20</v>
      </c>
      <c r="D73" s="312"/>
      <c r="E73" s="286"/>
      <c r="F73" s="250">
        <f t="shared" si="7"/>
        <v>0</v>
      </c>
      <c r="G73" s="69">
        <f t="shared" si="8"/>
        <v>0</v>
      </c>
    </row>
    <row r="74" spans="1:7" ht="12.75">
      <c r="A74" s="342" t="s">
        <v>253</v>
      </c>
      <c r="B74" s="271">
        <v>0.7</v>
      </c>
      <c r="C74" s="515" t="s">
        <v>20</v>
      </c>
      <c r="D74" s="312"/>
      <c r="E74" s="286"/>
      <c r="F74" s="250">
        <f t="shared" si="7"/>
        <v>0</v>
      </c>
      <c r="G74" s="69">
        <f t="shared" si="8"/>
        <v>0</v>
      </c>
    </row>
    <row r="75" spans="1:7" ht="12.75">
      <c r="A75" s="342" t="s">
        <v>254</v>
      </c>
      <c r="B75" s="271">
        <v>0.3</v>
      </c>
      <c r="C75" s="515" t="s">
        <v>20</v>
      </c>
      <c r="D75" s="312"/>
      <c r="E75" s="286"/>
      <c r="F75" s="250">
        <f t="shared" si="7"/>
        <v>0</v>
      </c>
      <c r="G75" s="69">
        <f t="shared" si="8"/>
        <v>0</v>
      </c>
    </row>
    <row r="76" spans="1:7" ht="12.75">
      <c r="A76" s="288" t="s">
        <v>245</v>
      </c>
      <c r="B76" s="266">
        <v>0.4</v>
      </c>
      <c r="C76" s="291" t="s">
        <v>20</v>
      </c>
      <c r="D76" s="312"/>
      <c r="E76" s="286"/>
      <c r="F76" s="250">
        <f t="shared" si="7"/>
        <v>0</v>
      </c>
      <c r="G76" s="69">
        <f t="shared" si="8"/>
        <v>0</v>
      </c>
    </row>
    <row r="77" spans="1:7" ht="12.75">
      <c r="A77" s="288" t="s">
        <v>239</v>
      </c>
      <c r="B77" s="266">
        <v>1</v>
      </c>
      <c r="C77" s="291" t="s">
        <v>20</v>
      </c>
      <c r="D77" s="312"/>
      <c r="E77" s="286"/>
      <c r="F77" s="250">
        <f t="shared" si="7"/>
        <v>0</v>
      </c>
      <c r="G77" s="69">
        <f t="shared" si="8"/>
        <v>0</v>
      </c>
    </row>
    <row r="78" spans="1:7" ht="12.75">
      <c r="A78" s="287" t="s">
        <v>256</v>
      </c>
      <c r="B78" s="266">
        <v>0.15</v>
      </c>
      <c r="C78" s="290" t="s">
        <v>20</v>
      </c>
      <c r="D78" s="361"/>
      <c r="E78" s="292"/>
      <c r="F78" s="250">
        <f>IF(D78="x",B78,0)</f>
        <v>0</v>
      </c>
      <c r="G78" s="69">
        <f>F78*(1000/$D$60)</f>
        <v>0</v>
      </c>
    </row>
    <row r="79" spans="1:7" ht="13.5" thickBot="1">
      <c r="A79" s="77"/>
      <c r="B79" s="289"/>
      <c r="C79" s="42"/>
      <c r="D79" s="540"/>
      <c r="E79" s="249"/>
      <c r="F79" s="250">
        <f>IF(D79="x",B79,0)</f>
        <v>0</v>
      </c>
      <c r="G79" s="69">
        <f>F79*1000/$D$60</f>
        <v>0</v>
      </c>
    </row>
    <row r="80" spans="1:7" ht="18.75" thickBot="1">
      <c r="A80" s="251" t="s">
        <v>33</v>
      </c>
      <c r="B80" s="73"/>
      <c r="C80" s="74"/>
      <c r="D80" s="244"/>
      <c r="E80" s="252"/>
      <c r="F80" s="413">
        <f>SUM(F59:F79)</f>
        <v>0.22866571666666669</v>
      </c>
      <c r="G80" s="411">
        <f>SUM(G59:G79)</f>
        <v>0.9146628666666667</v>
      </c>
    </row>
    <row r="81" spans="1:7" ht="18.75" thickBot="1">
      <c r="A81" s="251" t="s">
        <v>94</v>
      </c>
      <c r="B81" s="73"/>
      <c r="C81" s="74"/>
      <c r="D81" s="244"/>
      <c r="E81" s="252"/>
      <c r="F81" s="454">
        <f>F80+F54</f>
        <v>1.3719942999999999</v>
      </c>
      <c r="G81" s="411">
        <f>G80+G54</f>
        <v>5.996123237037038</v>
      </c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</sheetData>
  <sheetProtection password="E868" sheet="1" objects="1" scenarios="1"/>
  <mergeCells count="10">
    <mergeCell ref="F42:G42"/>
    <mergeCell ref="F57:G57"/>
    <mergeCell ref="A2:G3"/>
    <mergeCell ref="A16:A17"/>
    <mergeCell ref="B16:B17"/>
    <mergeCell ref="C16:C17"/>
    <mergeCell ref="E16:E17"/>
    <mergeCell ref="D16:D17"/>
    <mergeCell ref="F16:F17"/>
    <mergeCell ref="G16:G17"/>
  </mergeCells>
  <conditionalFormatting sqref="D31:E31">
    <cfRule type="expression" priority="1" dxfId="2" stopIfTrue="1">
      <formula>SUM(D4:D30)&lt;&gt;100</formula>
    </cfRule>
  </conditionalFormatting>
  <conditionalFormatting sqref="F36:G38 F28:G30 F8:G25">
    <cfRule type="cellIs" priority="2" dxfId="1" operator="greaterThan" stopIfTrue="1">
      <formula>0</formula>
    </cfRule>
  </conditionalFormatting>
  <conditionalFormatting sqref="F52:G52 F47:G48 F44:F45 E50:G51 F59:F60 F62:G80">
    <cfRule type="cellIs" priority="3" dxfId="0" operator="greaterThan" stopIfTrue="1">
      <formula>0</formula>
    </cfRule>
  </conditionalFormatting>
  <printOptions horizontalCentered="1"/>
  <pageMargins left="0.15748031496062992" right="0.11811023622047245" top="0.31496062992125984" bottom="0.4724409448818898" header="0.2362204724409449" footer="0.4724409448818898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DTM-GÜMRÜK MÜSTEŞARLIĞI</dc:creator>
  <cp:keywords/>
  <dc:description/>
  <cp:lastModifiedBy>OZAN</cp:lastModifiedBy>
  <cp:lastPrinted>2008-05-13T15:10:05Z</cp:lastPrinted>
  <dcterms:created xsi:type="dcterms:W3CDTF">2002-07-16T07:20:38Z</dcterms:created>
  <dcterms:modified xsi:type="dcterms:W3CDTF">2019-03-08T11:28:50Z</dcterms:modified>
  <cp:category/>
  <cp:version/>
  <cp:contentType/>
  <cp:contentStatus/>
</cp:coreProperties>
</file>